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QUADRO RESUMO" sheetId="1" r:id="rId1"/>
    <sheet name="PRODUTIVIDADE" sheetId="18" r:id="rId2"/>
    <sheet name="ENCARREGADO" sheetId="6" r:id="rId3"/>
    <sheet name="OPERADOR DE ROÇADEIRA" sheetId="19" r:id="rId4"/>
    <sheet name="MATERIAIS" sheetId="7" r:id="rId5"/>
    <sheet name="FERRAMENTAS E EQUIPAMENTOS" sheetId="8" r:id="rId6"/>
    <sheet name="EPIS" sheetId="9" r:id="rId7"/>
    <sheet name="UNIFORMES" sheetId="10" r:id="rId8"/>
  </sheets>
  <definedNames>
    <definedName name="_1Excel_BuiltIn_Print_Area_5_1">"$#REF!.$B$1:$G$74"</definedName>
    <definedName name="Excel_BuiltIn_Print_Area_1_1">"$#REF!.$A$1:$H$4"</definedName>
    <definedName name="Excel_BuiltIn_Print_Area_2_1" localSheetId="1">#REF!</definedName>
    <definedName name="Excel_BuiltIn_Print_Area_2_1">!#REF!</definedName>
    <definedName name="Excel_BuiltIn_Print_Area_3_1">"$#REF!.$B$1:$F$226"</definedName>
    <definedName name="Excel_BuiltIn_Print_Area_3_1_1">"$#REF!.$B$1:$F$226"</definedName>
    <definedName name="Excel_BuiltIn_Print_Area_5_1">"$#REF!.$B$1:$G$74"</definedName>
    <definedName name="Excel_BuiltIn_Print_Area_6" localSheetId="1">#REF!</definedName>
    <definedName name="Excel_BuiltIn_Print_Area_6">!#REF!</definedName>
    <definedName name="Excel_BuiltIn_Print_Area_6_1" localSheetId="1">#REF!</definedName>
    <definedName name="Excel_BuiltIn_Print_Area_6_1">!#REF!</definedName>
    <definedName name="Excel_BuiltIn_Print_Area_7">"$#REF!.$A$1:$H$150"</definedName>
    <definedName name="MOT">NA()</definedName>
  </definedNames>
  <calcPr calcId="144525"/>
</workbook>
</file>

<file path=xl/comments1.xml><?xml version="1.0" encoding="utf-8"?>
<comments xmlns="http://schemas.openxmlformats.org/spreadsheetml/2006/main">
  <authors>
    <author>Profº Walter S. Gouvêa</author>
  </authors>
  <commentList>
    <comment ref="J40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1" authorId="0">
      <text>
        <r>
          <rPr>
            <b/>
            <sz val="9"/>
            <rFont val="Segoe UI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2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3" authorId="0">
      <text>
        <r>
          <rPr>
            <b/>
            <sz val="9"/>
            <rFont val="Segoe UI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7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9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135" authorId="0">
      <text>
        <r>
          <rPr>
            <b/>
            <sz val="9"/>
            <rFont val="Segoe UI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</commentList>
</comments>
</file>

<file path=xl/comments2.xml><?xml version="1.0" encoding="utf-8"?>
<comments xmlns="http://schemas.openxmlformats.org/spreadsheetml/2006/main">
  <authors>
    <author>Profº Walter S. Gouvêa</author>
  </authors>
  <commentList>
    <comment ref="J40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1" authorId="0">
      <text>
        <r>
          <rPr>
            <b/>
            <sz val="9"/>
            <rFont val="Segoe UI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2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3" authorId="0">
      <text>
        <r>
          <rPr>
            <b/>
            <sz val="9"/>
            <rFont val="Segoe UI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7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9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135" authorId="0">
      <text>
        <r>
          <rPr>
            <b/>
            <sz val="9"/>
            <rFont val="Segoe UI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</commentList>
</comments>
</file>

<file path=xl/sharedStrings.xml><?xml version="1.0" encoding="utf-8"?>
<sst xmlns="http://schemas.openxmlformats.org/spreadsheetml/2006/main" count="1438" uniqueCount="658">
  <si>
    <t>GRUPO 01 - Campus Amílcar Ferreira Sobral e Colégio Técnico de Floriano</t>
  </si>
  <si>
    <t>ITEM</t>
  </si>
  <si>
    <t>DESCRIÇÃO</t>
  </si>
  <si>
    <t xml:space="preserve">UNIDADE </t>
  </si>
  <si>
    <t>QUANTIDADE</t>
  </si>
  <si>
    <t xml:space="preserve">VALOR MENSAL </t>
  </si>
  <si>
    <t>VALOR TOTAL  ANUAL</t>
  </si>
  <si>
    <t>Prestação de serviço de limpeza, asseio e conservação das áreas internas e externas do Campus Amílcar Ferreira Sobral e Colégio Técnico de Floriano</t>
  </si>
  <si>
    <t>Serviço Mensal</t>
  </si>
  <si>
    <t>Operador de Roçadeira</t>
  </si>
  <si>
    <t>VALOR ESTIMADO MENSAL</t>
  </si>
  <si>
    <t>VALOR ESTIMADO ANUAL</t>
  </si>
  <si>
    <t xml:space="preserve"> OBSERVAÇÃO: * Segundo o MTE a caracterização e classificação da insalubridade e da periculosidade, devem ser feitas através de perícia do Médico ou Engenheiro do Trabalho. (Art. 195 CLT).</t>
  </si>
  <si>
    <t>ANEXO I - Complemento dos Serviços de Limpeza e Conservação</t>
  </si>
  <si>
    <t>PREÇO MENSAL UNITÁRIO POR M²</t>
  </si>
  <si>
    <t>ÁREA INTERNA - PISOS FRIOS</t>
  </si>
  <si>
    <t>MÃO DE OBRA</t>
  </si>
  <si>
    <t>(1)
PRODUTIVIDADE
(1/m²)</t>
  </si>
  <si>
    <t>(2)
PREÇO HOMEM-MÊS
(R$)</t>
  </si>
  <si>
    <t>(1 X 2)
SUB-TOTAL
(R$/m²)</t>
  </si>
  <si>
    <t>Encarregado</t>
  </si>
  <si>
    <t>(30** x 1200*)</t>
  </si>
  <si>
    <t>Servente</t>
  </si>
  <si>
    <t>ÁREA INTERNA - LABORATÓRIOS (INSALUBRIDADE 20%)</t>
  </si>
  <si>
    <t>(30** x 450*)</t>
  </si>
  <si>
    <t>Servente (Insalubridade 20%)</t>
  </si>
  <si>
    <t>ÁREA INTERNA - ALMOXARIFADOS E GALPÕES</t>
  </si>
  <si>
    <t>(30** x 1500*)</t>
  </si>
  <si>
    <t>ÁREA INTERNA - ALMOXARIFADOS E GALPÕES (Insalubridade 20%)</t>
  </si>
  <si>
    <t>ÁREA INTERNA - EPAÇOS LIVRES, SAGUÃO, HALL E SALÃO</t>
  </si>
  <si>
    <t>ÁREA INTERNA - BANHEIROS (Insalubridade 40%)</t>
  </si>
  <si>
    <t>(30** x 200*)</t>
  </si>
  <si>
    <t>Servente (Insalubridade 40%)</t>
  </si>
  <si>
    <t xml:space="preserve"> </t>
  </si>
  <si>
    <t>ÁREA EXTERNA - PISOS PAVIMENTADOS ADJACENTES</t>
  </si>
  <si>
    <t>(30** x 2700*)</t>
  </si>
  <si>
    <t>ÁREA EXTERNA - VARRIÇÃO DE PASSEIOS E ARRUAMENTOS</t>
  </si>
  <si>
    <t>(30** x 6000*)</t>
  </si>
  <si>
    <t>ÁREA EXTERNA - PÁTIOS E ÁREAS VERDES COM ALTA FREQUÊNCIA</t>
  </si>
  <si>
    <t>(30** x 1800*)</t>
  </si>
  <si>
    <t>ÁREA EXTERNA - PÁTIOS E ÁREAS VERDES COM MÉDIA/BAIXA FREQUÊNCIA</t>
  </si>
  <si>
    <t>ÁREA EXTERNA - COLETA DE DETRITOS</t>
  </si>
  <si>
    <t>(30** x 100000*)</t>
  </si>
  <si>
    <t>VALOR MENSAL E ANUAL DO SERVIÇO (R$)</t>
  </si>
  <si>
    <t xml:space="preserve">TIPO DE ÁREA
</t>
  </si>
  <si>
    <t>PREÇO MENSAL UNITÁRIO
(R$/m²)</t>
  </si>
  <si>
    <t>ÁREA
(m²)</t>
  </si>
  <si>
    <t>SUB-TOTAL
(R$)</t>
  </si>
  <si>
    <t>ENCARREGADO</t>
  </si>
  <si>
    <t>SERVENTE</t>
  </si>
  <si>
    <t>ÁREA INTERNA - LABORATÓRIOS (INSALUBRIDADE GRAU MÉDIO/20%)</t>
  </si>
  <si>
    <t>ÁREA INTERNA - ALMOXARIFADOS E GALPÕES (INSALUBRIDADE GRAU MÉDIO/20%)</t>
  </si>
  <si>
    <t>ÁREA INTERNA - ESPAÇOS LIVRES, SAGUÃO, HALL E SALÃO</t>
  </si>
  <si>
    <t>ÁREA INTERNA - BANHEIROS (INSALUBRIDADE GRAU MÁXIMO/40%)</t>
  </si>
  <si>
    <t>ÁREA EXTERNA - PISOS PAVIMENTADOS</t>
  </si>
  <si>
    <t>ÁREA EXTERNA - VARRIÇÃO DE PASSEIOS</t>
  </si>
  <si>
    <t>ÁREA EXTERNA - PÁTIOS E ÁREAS EXTERNA COM MÉDIA/BAIXA FREQUÊNCIA</t>
  </si>
  <si>
    <t>QUANTIDADE ESTIMADA DE FUNCIONÁRIOS</t>
  </si>
  <si>
    <t>TIPO DE ÁREAS ESTIMADAS (IN 5/2017)</t>
  </si>
  <si>
    <t>METRAGEM (m²) (A)</t>
  </si>
  <si>
    <t>Frequência de limpeza/ mês
(B)</t>
  </si>
  <si>
    <t>Metragem limpa/ mês
(C) = (A)X(B)</t>
  </si>
  <si>
    <t>Metragem limpa/dia
(D)=(C)/22</t>
  </si>
  <si>
    <t>Nº de postos necessários
(F)=(D)/produtividade adotada</t>
  </si>
  <si>
    <t>1</t>
  </si>
  <si>
    <t>INTERNAS</t>
  </si>
  <si>
    <t>1.1</t>
  </si>
  <si>
    <t>Pisos frios: 800-1200² (cf. Anexo VI-B, item 3.1, alínea “a” e “b” da IN nº 5/2017). Produtividade adotada: 1200m²</t>
  </si>
  <si>
    <t>CAMPUS AMÍLCAR FERREIRA SOBRAL</t>
  </si>
  <si>
    <t>1.1.1</t>
  </si>
  <si>
    <t>Salas de aula Pavimento Térreo</t>
  </si>
  <si>
    <t>1.1.2</t>
  </si>
  <si>
    <t>Salas Administrativas Pavimento Térreo</t>
  </si>
  <si>
    <t>1.1.3</t>
  </si>
  <si>
    <t>Salas de aula Pavimento Superior</t>
  </si>
  <si>
    <t>1.1.4</t>
  </si>
  <si>
    <t>Salas Administrativas Pavimento Superior</t>
  </si>
  <si>
    <t>1.1.5</t>
  </si>
  <si>
    <t>Biblioteca</t>
  </si>
  <si>
    <t>1.1.6</t>
  </si>
  <si>
    <t>Laboratório de informatica, brinquedoteca, Liberte (lab de artes), residencia pedagógica, mini auditório</t>
  </si>
  <si>
    <t>Auditório</t>
  </si>
  <si>
    <t>Loja conceito e salas da administração</t>
  </si>
  <si>
    <t>Gabinetes dos professores</t>
  </si>
  <si>
    <t>COLÉGIO TÉCNICO DE FLORIANO</t>
  </si>
  <si>
    <t>1.1.8</t>
  </si>
  <si>
    <t>Salas de aula</t>
  </si>
  <si>
    <t>1.1.9</t>
  </si>
  <si>
    <t>Salas administrativas</t>
  </si>
  <si>
    <t>1.1.10</t>
  </si>
  <si>
    <t>FAZENDA EXPERIMENTAL NOVO RECREIO - ÁREA 1</t>
  </si>
  <si>
    <t>1.1.11</t>
  </si>
  <si>
    <t>Sala de Aula</t>
  </si>
  <si>
    <t>1.1.12</t>
  </si>
  <si>
    <t>Bloco da copa do Laboratório agroindustrial</t>
  </si>
  <si>
    <t>FAZENDA EXPERIMENTAL NOVO RECREIO - ÁREA 2</t>
  </si>
  <si>
    <t>1.1.13</t>
  </si>
  <si>
    <t>Vacaria</t>
  </si>
  <si>
    <t>ÁREAS DE USO COMUM CAFS/ CTF</t>
  </si>
  <si>
    <t>1.1.14</t>
  </si>
  <si>
    <t>Refeitório/ RU</t>
  </si>
  <si>
    <t>1.1.15</t>
  </si>
  <si>
    <t>Cozinha/ RU</t>
  </si>
  <si>
    <t>1.1.16</t>
  </si>
  <si>
    <t>Administrativo/ RU</t>
  </si>
  <si>
    <t>1.1.17</t>
  </si>
  <si>
    <t>Administrativo, alojamento/ Garagem</t>
  </si>
  <si>
    <t>1.1.18</t>
  </si>
  <si>
    <t>Guarita Vigilância</t>
  </si>
  <si>
    <t>1.1.19</t>
  </si>
  <si>
    <t>Residência Universitária</t>
  </si>
  <si>
    <t>1.2</t>
  </si>
  <si>
    <t>Laboratórios: 360-450m² (cf. Anexo VI-B, item 3.1, alínea “c” da IN nº 5/2017). Produtividade adotada: 450m² - FAZ JUS INSALUBRIDADE GRAU MÉDIO (20%)</t>
  </si>
  <si>
    <t>1.2.1</t>
  </si>
  <si>
    <t>Laboratórios de Biologia, Enfermagem e Ledoc – CAFS</t>
  </si>
  <si>
    <t>1.2.2</t>
  </si>
  <si>
    <t>Laboratório de produção da Administração</t>
  </si>
  <si>
    <t>1.2.3</t>
  </si>
  <si>
    <t>Lixeira para Descarte de resíduos laboratoriais</t>
  </si>
  <si>
    <t>1.2.4</t>
  </si>
  <si>
    <t>Laboratórios de enfermagem e solo</t>
  </si>
  <si>
    <t>1.2.5</t>
  </si>
  <si>
    <t>Lixeira proxima a BR</t>
  </si>
  <si>
    <t>1.2.6</t>
  </si>
  <si>
    <t>Laboratório de pisicultura</t>
  </si>
  <si>
    <t>1.2.7</t>
  </si>
  <si>
    <t>Laboratório agroindustrial</t>
  </si>
  <si>
    <t>1.2.8</t>
  </si>
  <si>
    <t>Casa do Mel</t>
  </si>
  <si>
    <t>1.2.9</t>
  </si>
  <si>
    <t>Câmara Fria/RU</t>
  </si>
  <si>
    <t>1.2.10</t>
  </si>
  <si>
    <t>Consultório Odontológico/Residencia Universitária</t>
  </si>
  <si>
    <t>1.2.11</t>
  </si>
  <si>
    <t>Lixeira/RU</t>
  </si>
  <si>
    <t>1.3</t>
  </si>
  <si>
    <t xml:space="preserve">Almoxarifados e galpões: 1500-2500m² (cf. Anexo VI-B, item 3.1, alínea “d” da IN nº 5/2017). Produtividade adotada: 1500m² </t>
  </si>
  <si>
    <t>1.3.1</t>
  </si>
  <si>
    <t>Almoxarifado</t>
  </si>
  <si>
    <t>1.3.2</t>
  </si>
  <si>
    <t>Depósitos</t>
  </si>
  <si>
    <t>1.3.3</t>
  </si>
  <si>
    <t>1.3.4</t>
  </si>
  <si>
    <t>Depósito (Alojamento Estudantil)</t>
  </si>
  <si>
    <t>1.3.5</t>
  </si>
  <si>
    <t>Garagem de Maquinas Agricolas</t>
  </si>
  <si>
    <t>1.3.6</t>
  </si>
  <si>
    <t>Almoxarifado/ Garagem</t>
  </si>
  <si>
    <t>1.3.7</t>
  </si>
  <si>
    <t>Almoxarifado/ RU</t>
  </si>
  <si>
    <t>1.4</t>
  </si>
  <si>
    <t>Almoxarifados e galpões: 1500-2500m² (cf. Anexo VI-B, item 3.1, alínea “d” da IN nº 5/2017). Produtividade adotada: 1500m² - FAZ JUS INSALUBRIDADE GRAU MÉDIO (20%)</t>
  </si>
  <si>
    <t>1.4.1</t>
  </si>
  <si>
    <t>Avicultura de Corte (4 Unidades)</t>
  </si>
  <si>
    <t>1.4.2</t>
  </si>
  <si>
    <t>Avicultura de posturas (2 Unidades)</t>
  </si>
  <si>
    <t>1.4.3</t>
  </si>
  <si>
    <t>Abatedouro de frango</t>
  </si>
  <si>
    <t>1.4.4</t>
  </si>
  <si>
    <t>Almoxarifado/ Galpão de Materiais e Ferramentas</t>
  </si>
  <si>
    <t>1.4.5</t>
  </si>
  <si>
    <t>Área proxima dos tanques de peixes</t>
  </si>
  <si>
    <t>1.4.6</t>
  </si>
  <si>
    <t>Suinocultura</t>
  </si>
  <si>
    <t>1.4.7</t>
  </si>
  <si>
    <t>1.5</t>
  </si>
  <si>
    <t>Áreas com espaços livres-saguão, hall e salão: 1000-1500m² (cf. Anexo VI-B, item 3.1, alínea “f” da IN nº 5/2017). Produtividade adotada: 1500m²</t>
  </si>
  <si>
    <t>1.5.1</t>
  </si>
  <si>
    <t>Passarelas, corredores, pavimento térreo</t>
  </si>
  <si>
    <t>1.5.2</t>
  </si>
  <si>
    <t>Passarelas, corredores, escadas rampas pavimento superior</t>
  </si>
  <si>
    <t>1.5.3</t>
  </si>
  <si>
    <t>Hall/Auditório</t>
  </si>
  <si>
    <t>1.5.4</t>
  </si>
  <si>
    <t>Corredores/Gabinete dos professores</t>
  </si>
  <si>
    <t>1.5.5</t>
  </si>
  <si>
    <t>Corredores/Loja Conceito e Lab. de produção</t>
  </si>
  <si>
    <t>1.5.6</t>
  </si>
  <si>
    <t>Hall, corredores, saguão</t>
  </si>
  <si>
    <t>1.5.7</t>
  </si>
  <si>
    <t>Quadra poliesportiva</t>
  </si>
  <si>
    <t>1.5.8</t>
  </si>
  <si>
    <t>Hall/ RU</t>
  </si>
  <si>
    <t>1.5.9</t>
  </si>
  <si>
    <t>Garagem</t>
  </si>
  <si>
    <t>1.6</t>
  </si>
  <si>
    <t>Banheiros: 200-300m² (cf. Anexo VI-B, item 3.1, alínea “g” da IN nº 5/2017). Produtividade adotada: 200m² - FAZ JUZ INSABLUBRIDADE GRAU MÁXIMO (40%) - SÚMULA 448 TST</t>
  </si>
  <si>
    <t>1.6.1</t>
  </si>
  <si>
    <t>Bloco do setor Administrativo, salas de aula e laboratórios Pavimento térreo</t>
  </si>
  <si>
    <t>1.6.2</t>
  </si>
  <si>
    <t>Bloco da Biblioteca, salas de aula e laboratórios Pavimento Superior</t>
  </si>
  <si>
    <t>1.6.3</t>
  </si>
  <si>
    <t>1.6.4</t>
  </si>
  <si>
    <t>Loja conceito e Lab de Produção</t>
  </si>
  <si>
    <t>1.6.5</t>
  </si>
  <si>
    <t>1.6.6</t>
  </si>
  <si>
    <t>Salas de aula, administrativos e outros</t>
  </si>
  <si>
    <t>1.6.7</t>
  </si>
  <si>
    <t>1.6.8</t>
  </si>
  <si>
    <t>1.6.9</t>
  </si>
  <si>
    <t>1.6.10</t>
  </si>
  <si>
    <t>1.6.11</t>
  </si>
  <si>
    <t>1.6.12</t>
  </si>
  <si>
    <t>1.6.13</t>
  </si>
  <si>
    <t>1.6.14</t>
  </si>
  <si>
    <t>1.6.15</t>
  </si>
  <si>
    <t>Cozinha, refeitório e outros/ RU</t>
  </si>
  <si>
    <t>1.6.16</t>
  </si>
  <si>
    <t>Guarita</t>
  </si>
  <si>
    <t>2</t>
  </si>
  <si>
    <t>ÁREAS EXTERNAS</t>
  </si>
  <si>
    <t>2.1</t>
  </si>
  <si>
    <t>Pisos pavimentados adjacentes/contíguos às edificações: 1800-2700m² (Anexo VI-B, item 3.2, alínea “a” IN nº 5/2017). Produtividade adotada: 1800m²</t>
  </si>
  <si>
    <t>2.1.1</t>
  </si>
  <si>
    <t>Calçadas adjacentes às edificações CAFS</t>
  </si>
  <si>
    <t>2.1.2</t>
  </si>
  <si>
    <t>Calçadas adjacentes às edificações Gabinete de Professores</t>
  </si>
  <si>
    <t>2.1.3</t>
  </si>
  <si>
    <t>Calçadas adjacentes às edificações Loja Conceito e Lab de Produção</t>
  </si>
  <si>
    <t>2.1.4</t>
  </si>
  <si>
    <t>Calçadas adjacentes às edificações</t>
  </si>
  <si>
    <t>2.1.5</t>
  </si>
  <si>
    <t>Calçadas adjacentes às edificações Sala de aula</t>
  </si>
  <si>
    <t>2.1.6</t>
  </si>
  <si>
    <t>Calçadas adjacentes às edificações Laboratório agroindustrial</t>
  </si>
  <si>
    <t>2.1.7</t>
  </si>
  <si>
    <t>Calçadas adjacentes às edificações Casa do Mel</t>
  </si>
  <si>
    <t>2.1.8</t>
  </si>
  <si>
    <t>Calçadas adjacentes às edificações Almoxarifado/Garagem de Maquinas Agricolas</t>
  </si>
  <si>
    <t>2.1.9</t>
  </si>
  <si>
    <t>Calçadas adjacentes às edificações - tanques psicultura</t>
  </si>
  <si>
    <t>2.1.10</t>
  </si>
  <si>
    <t>Calçadas adjacentes às edificações - laboratório da piscicultura</t>
  </si>
  <si>
    <t>2.1.11</t>
  </si>
  <si>
    <t>Calçadas adjacentes às edificações - Vacaria</t>
  </si>
  <si>
    <t>2.1.12</t>
  </si>
  <si>
    <t>Calçadas adjacentes às edificações/ RU</t>
  </si>
  <si>
    <t>2.1.13</t>
  </si>
  <si>
    <t>Calçadas adjacentes às edificações/ Garagem</t>
  </si>
  <si>
    <t>2.1.14</t>
  </si>
  <si>
    <t>Calçadas adjacentes às edificações/ Residência</t>
  </si>
  <si>
    <t>2.2</t>
  </si>
  <si>
    <t>Varrição de passeios e arruamentos: 6000-9000m² (Anexo VI-B, item 3.2, alínea “b” IN nº 5/2017). Produtividade adotada: 6000m²</t>
  </si>
  <si>
    <t>2.2.1</t>
  </si>
  <si>
    <t>Passeios e estacionamentos/ Prédio Principal</t>
  </si>
  <si>
    <t>2.2.2</t>
  </si>
  <si>
    <t>Passeios e estacionamentos/ Restaurante</t>
  </si>
  <si>
    <t>2.2.3</t>
  </si>
  <si>
    <t>Passeios e estacionamentos/ Gabinete dos professores</t>
  </si>
  <si>
    <t>2.2.4</t>
  </si>
  <si>
    <t>Passeios e estacionamentos/ Loja Conceito</t>
  </si>
  <si>
    <t>2.2.5</t>
  </si>
  <si>
    <t>Passeios e estacionamentos</t>
  </si>
  <si>
    <t>2.3</t>
  </si>
  <si>
    <t>Pátios e áreas verdes com alta frequência: 1800-2700m²  (Anexo VI-B, item 3.2, alínea “d” IN nº 5/2017). Produtividade adotada: 1800m²</t>
  </si>
  <si>
    <t>2.3.1</t>
  </si>
  <si>
    <t>Pátio Prédio Principal</t>
  </si>
  <si>
    <t>2.3.2</t>
  </si>
  <si>
    <t>Jardim proximo ao RU</t>
  </si>
  <si>
    <t>2.3.3</t>
  </si>
  <si>
    <t>Jardim proximo ao Gabinete de Professores</t>
  </si>
  <si>
    <t>2.3.4</t>
  </si>
  <si>
    <t>2.3.5</t>
  </si>
  <si>
    <t>Pátio Laboratório agroindustrial</t>
  </si>
  <si>
    <t>2.3.6</t>
  </si>
  <si>
    <t>Jardins Laboratório agroindustrial</t>
  </si>
  <si>
    <t>2.3.7</t>
  </si>
  <si>
    <t>Pátio da Vacaria</t>
  </si>
  <si>
    <t>2.4</t>
  </si>
  <si>
    <t>Pátio e áreas verdes com média/ baixa frequência: 1800-2700m² (cf. Anexo VI-B, Item 3.2, alínea "e" IN nº 5/2017). Produtividade adotada: 2700m²</t>
  </si>
  <si>
    <t>2.4.1</t>
  </si>
  <si>
    <t>Arredores Prédio Principal - Executado a cada 3 meses</t>
  </si>
  <si>
    <t>2.4.2</t>
  </si>
  <si>
    <t>Arredores Gabinete dos Professores - Executado a cada 3 meses</t>
  </si>
  <si>
    <t>Arredores do Prédio Principal - Executado a cada 3 meses</t>
  </si>
  <si>
    <t>2.4.3</t>
  </si>
  <si>
    <t>Arredores da quadra Poliesportiva</t>
  </si>
  <si>
    <t>2.4.4</t>
  </si>
  <si>
    <t>Campo de futebol</t>
  </si>
  <si>
    <t>2.4.5</t>
  </si>
  <si>
    <t>Arredores do campo de futebol</t>
  </si>
  <si>
    <t>2.4.6</t>
  </si>
  <si>
    <t>Arredores dos Prédios (laboratórios, galpões, agoindustria, psicultura, outros) - Executado a cada 1 meses</t>
  </si>
  <si>
    <t>2.4.7</t>
  </si>
  <si>
    <t>Caminho até a bomba d'agua - Executado a cada 3 meses</t>
  </si>
  <si>
    <t>2.4.8</t>
  </si>
  <si>
    <t>Ao redor do Viveiro -  Executado a cada 6 meses</t>
  </si>
  <si>
    <t>2.4.9</t>
  </si>
  <si>
    <t>Arredores dos Prédios (suinocultura, vacaria e apriscos - Executado a cada 1 meses</t>
  </si>
  <si>
    <t>2.4.10</t>
  </si>
  <si>
    <t>Arredores da Caixa d'água, ETE, RU, Loja Conceito, Residência e Alojamento Estudantil - Executado a cada 3 meses</t>
  </si>
  <si>
    <t>2.4.11</t>
  </si>
  <si>
    <t>Arredores da Garagem - Excutado a cada 3 meses</t>
  </si>
  <si>
    <t>2.4.12</t>
  </si>
  <si>
    <t>Arredores da Rua Principal - Executado a cada 3 meses</t>
  </si>
  <si>
    <t>2.5</t>
  </si>
  <si>
    <t>Coleta de detritos em pátios e áreas verdes com frequência diária: 100.000 m2. (cf. Anexo VI-B, item 3.2, alínea “f” IN nº 5/2017). Produtividade adotada: 100.000m²</t>
  </si>
  <si>
    <t>2.5.1</t>
  </si>
  <si>
    <t>Ruas gerais, passeio das ruas</t>
  </si>
  <si>
    <t>-</t>
  </si>
  <si>
    <t>TOTAL ESTIMADO DE SERVENTES</t>
  </si>
  <si>
    <t>TOTAL ESTIMADO DE ENCARREGADO</t>
  </si>
  <si>
    <t>OBSERVAÇÕES:</t>
  </si>
  <si>
    <r>
      <rPr>
        <b/>
        <sz val="10"/>
        <rFont val="Arial"/>
        <charset val="134"/>
      </rPr>
      <t>O valor do metro quadrado nas áreas internas e externas do servente de limpeza é resultado da seguinte operação</t>
    </r>
    <r>
      <rPr>
        <b/>
        <sz val="10"/>
        <color rgb="FFFF0000"/>
        <rFont val="Arial"/>
        <charset val="134"/>
      </rPr>
      <t>:  = (1/produtividade adotada na área) X Preço Homem-mês.</t>
    </r>
  </si>
  <si>
    <r>
      <rPr>
        <b/>
        <sz val="10"/>
        <rFont val="Arial"/>
        <charset val="134"/>
      </rPr>
      <t>O valor do metro quadrado nas áreas internas e externas do encarregado é resultado da seguinte operação</t>
    </r>
    <r>
      <rPr>
        <b/>
        <sz val="10"/>
        <color rgb="FFFF0000"/>
        <rFont val="Arial"/>
        <charset val="134"/>
      </rPr>
      <t>:  = (Preço Homem-mês/(30 X Produtividade da área).</t>
    </r>
  </si>
  <si>
    <t>Para chegar no valor mensal do serviço, adotou-se o seguinte procedimento:</t>
  </si>
  <si>
    <t>Multiplicou-se o preço mensal unitário do metro quadrado pela quantidade da área a ser limpa. Depois somou-se o valor mensal de cada área, chegando assim no valor estimado mensal e valor estimado anual.</t>
  </si>
  <si>
    <t>A realização do cálculo para estimar a quantidade de serventes foi realizada em 4 partes: na primeira, dividiu-se a quantidade da respectiva área física a ser limpa pela produtividade adotada. Na segunda, somou-se o resultado de todas as áreas físicas internas e,  como a soma gerou duas casas decimais, o resultado foi arredondado para baixo porque o algarismo na casa condição é menor que 5. Na terceira, somou-se o resultado de todas as áreas físicas externas e,  como a soma gerou duas casas decimais, o resultado foi arredondado para baixo porque o algarismo na casa condição é menor que 5. Por fim, foi realizada a soma do total das áreas físicas internas e externas, chegando assim no total estimado de serventes.</t>
  </si>
  <si>
    <t>Para estimar a quantidade de encarregado dividiu-se a quantidade de serventes estimada por 30.  Como a divisão gerou duas casas decimais, o resultado foi arredondado para baixo porque o algarismo na casa condição é menor que 5.</t>
  </si>
  <si>
    <t>Para a realização dos cálculos acima observou-se o disposto  nos itens 6. (Complemento dos Serviços de Limpeza e Conservação) e 7. (Valor Mensal dos Serviços), contidos no Anexo VII-D (Modelo de Planilha de Custos e Formação de Preços) da IN 05/2017.</t>
  </si>
  <si>
    <t>Categoria profissional: ENCARREGADO DE TURMA DE LIMPEZA - 44 HORAS</t>
  </si>
  <si>
    <t>EXEQUIBILIDADE</t>
  </si>
  <si>
    <t>Nº do Processo</t>
  </si>
  <si>
    <t>23111.011453/2023-59</t>
  </si>
  <si>
    <t>Discriminação dos Serviços</t>
  </si>
  <si>
    <t>A</t>
  </si>
  <si>
    <t>Data de apresentação da proposta</t>
  </si>
  <si>
    <t>B</t>
  </si>
  <si>
    <t>Município</t>
  </si>
  <si>
    <t>FLORIANO-PI</t>
  </si>
  <si>
    <t>C</t>
  </si>
  <si>
    <t>Ano do Acordo, Convenção ou Dissídio Coletivo</t>
  </si>
  <si>
    <t>PI000066/2023</t>
  </si>
  <si>
    <t>ETAPA I</t>
  </si>
  <si>
    <t>D</t>
  </si>
  <si>
    <t>Nº de meses de execução contratual</t>
  </si>
  <si>
    <t>CUSTOS OBRIGATÓRIOS (C.O.)</t>
  </si>
  <si>
    <t>TOTAL ETAPA I</t>
  </si>
  <si>
    <t>Identificação do Serviço</t>
  </si>
  <si>
    <t>Tipo de Serviço</t>
  </si>
  <si>
    <t>Unidade de Medida</t>
  </si>
  <si>
    <t>Quantidade estimada a contratar (em função da unidade de medida)</t>
  </si>
  <si>
    <t>ETAPA II</t>
  </si>
  <si>
    <t>Limpeza e Conserv.</t>
  </si>
  <si>
    <t>M²</t>
  </si>
  <si>
    <t>RETENÇÕES, DEDUÇÕES E AMORTIZAÇÕES</t>
  </si>
  <si>
    <t>Dados para composição dos custos referentes à mão-de-obra</t>
  </si>
  <si>
    <t xml:space="preserve">INSS </t>
  </si>
  <si>
    <t>Tipo de serviço (mesmo serviço com características distintas)</t>
  </si>
  <si>
    <t>ENCARREGADO DE TURMA DE LIMPEZA</t>
  </si>
  <si>
    <t>VALE ALIMENTAÇÃO</t>
  </si>
  <si>
    <t>Classificação Brasileira de Ocupações (CBO)</t>
  </si>
  <si>
    <t>4101-05</t>
  </si>
  <si>
    <t xml:space="preserve">INSUMOS </t>
  </si>
  <si>
    <t>Salário Nominativo da Categoria Profissional</t>
  </si>
  <si>
    <t>Vale transporte</t>
  </si>
  <si>
    <t>Categoria profissional (vinculada à execução contratual)</t>
  </si>
  <si>
    <t>SINDICATO DAS EMPRESAS DE ASSEIO E CONSERVACAO DO ESTADO DO PIAUI</t>
  </si>
  <si>
    <t>TOTAL DAS DEDUÇÕES</t>
  </si>
  <si>
    <t>Data base da categoria (dia/mês/ano)</t>
  </si>
  <si>
    <t>1º janeiro de 2023</t>
  </si>
  <si>
    <t>VALOR TOTAL EMPREG.</t>
  </si>
  <si>
    <t>VALOR INCIDÊNCIA 11% INSS</t>
  </si>
  <si>
    <t>MÓDULO 1 - COMPOSIÇÃO DA REMUNERAÇÃO</t>
  </si>
  <si>
    <t>Total</t>
  </si>
  <si>
    <t>COMPOSIÇÃO DA REMUNERAÇÃO</t>
  </si>
  <si>
    <t>%</t>
  </si>
  <si>
    <t>VALOR (R$)</t>
  </si>
  <si>
    <t xml:space="preserve">IRPJ </t>
  </si>
  <si>
    <t>Salário Base</t>
  </si>
  <si>
    <t>IN 1234/12 - CÓD. 6147: 1,2%</t>
  </si>
  <si>
    <t>Adicional Periculosidade</t>
  </si>
  <si>
    <t>IN 1234/12 - 6170: 4,8%</t>
  </si>
  <si>
    <t>Adicional Insalubridade</t>
  </si>
  <si>
    <t>VALOR TOTAL EMPREG. (1,2%)</t>
  </si>
  <si>
    <t>Adicional Noturno</t>
  </si>
  <si>
    <r>
      <rPr>
        <b/>
        <sz val="12"/>
        <rFont val="Calibri"/>
        <charset val="134"/>
        <scheme val="minor"/>
      </rPr>
      <t xml:space="preserve">Total </t>
    </r>
    <r>
      <rPr>
        <b/>
        <sz val="12"/>
        <color rgb="FFFF0000"/>
        <rFont val="Calibri"/>
        <charset val="134"/>
        <scheme val="minor"/>
      </rPr>
      <t>(1,2%)</t>
    </r>
  </si>
  <si>
    <t>E</t>
  </si>
  <si>
    <t>Adicional de Hora Noturna Reduzida</t>
  </si>
  <si>
    <t>CSLL</t>
  </si>
  <si>
    <t>F</t>
  </si>
  <si>
    <t>Outros (especificar)</t>
  </si>
  <si>
    <t>TOTAL DO MÓDULO 1</t>
  </si>
  <si>
    <t>COFINS</t>
  </si>
  <si>
    <t>MÓDULO 2 – ENCARGOS E BENEFÍCIOS ANUAIS, MENSAIS E DIÁRIOS</t>
  </si>
  <si>
    <t>Submódulo 2.1 - 13º Salário, Férias e Adicional de Férias</t>
  </si>
  <si>
    <t>13 (Décimo-terceiro) salário</t>
  </si>
  <si>
    <t>PIS/PASEP</t>
  </si>
  <si>
    <t>Férias e Abono de Férias</t>
  </si>
  <si>
    <t>TOTAL SUBMÓDULO 2.1</t>
  </si>
  <si>
    <r>
      <rPr>
        <b/>
        <sz val="10"/>
        <color theme="1"/>
        <rFont val="Arial"/>
        <charset val="134"/>
      </rPr>
      <t xml:space="preserve">BASE DE CÁLCULO PARA O SUBMÓDULO 2.2 </t>
    </r>
    <r>
      <rPr>
        <sz val="10"/>
        <color theme="1"/>
        <rFont val="Arial"/>
        <charset val="134"/>
      </rPr>
      <t>(MÓDULO 1 + SUBMÓDULO 2.1)</t>
    </r>
  </si>
  <si>
    <t>MÓDULO 1</t>
  </si>
  <si>
    <t>ISSQN ( 2% a 5%) vide planilha</t>
  </si>
  <si>
    <t>SUBMÓDULO 2.1</t>
  </si>
  <si>
    <t>TOTAL</t>
  </si>
  <si>
    <t>Submódulo 2.2 - GPS, FGTS e Outras Contribuições</t>
  </si>
  <si>
    <t>TOTAL - ETAPA II</t>
  </si>
  <si>
    <t>INSS</t>
  </si>
  <si>
    <t>RETENÇÃO 11% - IN 2110/22</t>
  </si>
  <si>
    <t>Salário Educação</t>
  </si>
  <si>
    <r>
      <rPr>
        <b/>
        <sz val="12"/>
        <color rgb="FF0033CC"/>
        <rFont val="Calibri"/>
        <charset val="134"/>
        <scheme val="minor"/>
      </rPr>
      <t>ETAPA I + ETAPA II (</t>
    </r>
    <r>
      <rPr>
        <b/>
        <sz val="12"/>
        <color rgb="FFFF0000"/>
        <rFont val="Calibri"/>
        <charset val="134"/>
        <scheme val="minor"/>
      </rPr>
      <t>TOTAL "E1E2"</t>
    </r>
    <r>
      <rPr>
        <b/>
        <sz val="12"/>
        <color rgb="FF0033CC"/>
        <rFont val="Calibri"/>
        <charset val="134"/>
        <scheme val="minor"/>
      </rPr>
      <t>)</t>
    </r>
  </si>
  <si>
    <t>SAT (Seguro Acidente de Trabalho)</t>
  </si>
  <si>
    <t>TOTAL: CUSTOS OBRIGATÓRIOS + RETENÇÕES</t>
  </si>
  <si>
    <t>SESC ou SESI</t>
  </si>
  <si>
    <t>SENAI - SENAC</t>
  </si>
  <si>
    <t>SEBRAE</t>
  </si>
  <si>
    <t>G</t>
  </si>
  <si>
    <t>INCRA</t>
  </si>
  <si>
    <t>H</t>
  </si>
  <si>
    <t>FGTS</t>
  </si>
  <si>
    <t>TOTAL SUBMÓDULO 2.2</t>
  </si>
  <si>
    <t xml:space="preserve">ETAPA III </t>
  </si>
  <si>
    <t>Submódulo 2.3 - Benefícios Mensais e Diários</t>
  </si>
  <si>
    <t>DEMONSTRAÇÃO DA EXEQUIBILIDADE</t>
  </si>
  <si>
    <t>Transporte</t>
  </si>
  <si>
    <t>Nº DE POSTOS DO CONTRATO</t>
  </si>
  <si>
    <t>Auxílio-Refeição/Alimentação</t>
  </si>
  <si>
    <r>
      <rPr>
        <b/>
        <sz val="12"/>
        <rFont val="Calibri"/>
        <charset val="134"/>
        <scheme val="minor"/>
      </rPr>
      <t>TOTAL POR POSTO "</t>
    </r>
    <r>
      <rPr>
        <b/>
        <sz val="12"/>
        <color rgb="FFFF0000"/>
        <rFont val="Calibri"/>
        <charset val="134"/>
        <scheme val="minor"/>
      </rPr>
      <t>E1E2</t>
    </r>
    <r>
      <rPr>
        <b/>
        <sz val="12"/>
        <rFont val="Calibri"/>
        <charset val="134"/>
        <scheme val="minor"/>
      </rPr>
      <t xml:space="preserve">": </t>
    </r>
    <r>
      <rPr>
        <i/>
        <sz val="12"/>
        <color rgb="FFFF0000"/>
        <rFont val="Calibri"/>
        <charset val="134"/>
        <scheme val="minor"/>
      </rPr>
      <t>(CUSTO HOMEM/MÊS) -</t>
    </r>
    <r>
      <rPr>
        <b/>
        <sz val="12"/>
        <rFont val="Calibri"/>
        <charset val="134"/>
        <scheme val="minor"/>
      </rPr>
      <t xml:space="preserve"> </t>
    </r>
    <r>
      <rPr>
        <i/>
        <sz val="12"/>
        <color rgb="FFFF0000"/>
        <rFont val="Calibri"/>
        <charset val="134"/>
        <scheme val="minor"/>
      </rPr>
      <t>(C.O. + RETENÇÕES)</t>
    </r>
  </si>
  <si>
    <t>Assistência Médica e Familiar</t>
  </si>
  <si>
    <t>Seguro de vida</t>
  </si>
  <si>
    <t>TOTAL SUBMÓDULO 2.3</t>
  </si>
  <si>
    <t>VALOR MENSAL DO CONTRATO</t>
  </si>
  <si>
    <r>
      <rPr>
        <b/>
        <sz val="12"/>
        <rFont val="Calibri"/>
        <charset val="134"/>
        <scheme val="minor"/>
      </rPr>
      <t>TOTAL MENSAL "</t>
    </r>
    <r>
      <rPr>
        <b/>
        <sz val="12"/>
        <color rgb="FFFF0000"/>
        <rFont val="Calibri"/>
        <charset val="134"/>
        <scheme val="minor"/>
      </rPr>
      <t>E1+E2</t>
    </r>
    <r>
      <rPr>
        <b/>
        <sz val="12"/>
        <rFont val="Calibri"/>
        <charset val="134"/>
        <scheme val="minor"/>
      </rPr>
      <t>"</t>
    </r>
  </si>
  <si>
    <t>QUADRO-RESUMO DO MÓDULO 2 - ENCARGOS, BENEFÍCIOS ANUAIS, MENSAIS E DIÁRIOS</t>
  </si>
  <si>
    <t>SALDO DA EXEQUIBILIDADE</t>
  </si>
  <si>
    <t>Módulo 2 - Encargos, Benefícios Anuais, Mensais e Diários</t>
  </si>
  <si>
    <t>DEMAIS CUSTOS (MÓDULO 3, EXCETO ALÍNEA "E"; MÓDULO 4; MÓDULO 5; CUSTOS INDIRETOS E LUCRO)</t>
  </si>
  <si>
    <t>13º Salário, Férias e Adicional de Férias</t>
  </si>
  <si>
    <t>SALDO FINAL</t>
  </si>
  <si>
    <t>GPS, FGTS e Outras Contribuições</t>
  </si>
  <si>
    <t>SALDO DE EXEQUIBILIDADE ANUAL POR EMPREGADO</t>
  </si>
  <si>
    <t>Benefícios Mensais e Diários</t>
  </si>
  <si>
    <t>SALDO DE EXEQUIBILIDADE ANUAL TOTAL</t>
  </si>
  <si>
    <t>TOTAL DO MÓDULO 2</t>
  </si>
  <si>
    <r>
      <rPr>
        <b/>
        <sz val="12"/>
        <rFont val="Calibri"/>
        <charset val="134"/>
        <scheme val="minor"/>
      </rPr>
      <t>O "</t>
    </r>
    <r>
      <rPr>
        <b/>
        <sz val="12"/>
        <color rgb="FFFF0000"/>
        <rFont val="Calibri"/>
        <charset val="134"/>
        <scheme val="minor"/>
      </rPr>
      <t>SALDO DA EXEQUIBILIDADE</t>
    </r>
    <r>
      <rPr>
        <b/>
        <sz val="12"/>
        <rFont val="Calibri"/>
        <charset val="134"/>
        <scheme val="minor"/>
      </rPr>
      <t xml:space="preserve">" REPRESENTA O VALOR RESTANTE DA PLANILHA QUE NÃO FOI CONTABILIZADO PELOS CUSTOS OBRIGATÓRIOS (ETAPA I) E PELAS RETENÇÕES TRIBUTÁRIAS (ETAPA II). O LICITANTE TERÁ QUE  COMPROVAR QUE O "SALDO DA EXEQUIBILIDADE" SERÁ </t>
    </r>
    <r>
      <rPr>
        <b/>
        <sz val="12"/>
        <color rgb="FFFF0000"/>
        <rFont val="Calibri"/>
        <charset val="134"/>
        <scheme val="minor"/>
      </rPr>
      <t>SUFICIENTE PARA SUPRIR OS DEMAIS CUSTOS</t>
    </r>
    <r>
      <rPr>
        <b/>
        <sz val="12"/>
        <rFont val="Calibri"/>
        <charset val="134"/>
        <scheme val="minor"/>
      </rPr>
      <t>.</t>
    </r>
  </si>
  <si>
    <r>
      <rPr>
        <b/>
        <sz val="10"/>
        <color theme="1"/>
        <rFont val="Arial"/>
        <charset val="134"/>
      </rPr>
      <t xml:space="preserve">BASE DE CÁLCULO PARA O MÓDULO 3 </t>
    </r>
    <r>
      <rPr>
        <sz val="10"/>
        <color theme="1"/>
        <rFont val="Arial"/>
        <charset val="134"/>
      </rPr>
      <t>(MÓDULO 1 + MÓDULO 2)</t>
    </r>
  </si>
  <si>
    <t>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</si>
  <si>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</si>
  <si>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</si>
  <si>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</si>
  <si>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</si>
  <si>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Aviso Prévio Trabalhado</t>
  </si>
  <si>
    <t>Incidência dos encargos do submódulo 2.2 sobre Aviso Prévio Trabalhado</t>
  </si>
  <si>
    <t>Multa do FGTS sobre o Aviso Prévio Indenizado e sobre o Aviso Prévio Trabalhado</t>
  </si>
  <si>
    <t>TOTAL DO MÓDULO 3</t>
  </si>
  <si>
    <r>
      <rPr>
        <b/>
        <sz val="10"/>
        <color theme="1"/>
        <rFont val="Arial"/>
        <charset val="134"/>
      </rPr>
      <t xml:space="preserve">BASE DE CÁLCULO PARA O MÓDULO 4 </t>
    </r>
    <r>
      <rPr>
        <sz val="10"/>
        <color theme="1"/>
        <rFont val="Arial"/>
        <charset val="134"/>
      </rPr>
      <t>(MÓDULO 1 + MÓDULO 2 + MÓDULO 3)</t>
    </r>
  </si>
  <si>
    <t>MÓDULO 3</t>
  </si>
  <si>
    <t>MÓDULO 4 – CUSTO DE REPOSIÇÃO DO PROFISSIONAL AUSENTE</t>
  </si>
  <si>
    <t>Submódulo 4.1 - Ausências Legais</t>
  </si>
  <si>
    <t>Substituto na cobertura de Férias</t>
  </si>
  <si>
    <t>Substituto na cobertura de Ausências Legais</t>
  </si>
  <si>
    <t>Substituto na cobertura de Licença Paternidade</t>
  </si>
  <si>
    <t>Substituto na cobertura de Ausência por Acidente de Trabalho</t>
  </si>
  <si>
    <t>Substituto na cobertura de Afastamento Maternidade</t>
  </si>
  <si>
    <t>Substituto na cobertura de outras ausências</t>
  </si>
  <si>
    <t>TOTAL SUBMÓDULO 4.1</t>
  </si>
  <si>
    <t>Submódulo 4.2 -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</si>
  <si>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</si>
  <si>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</si>
  <si>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</si>
  <si>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</si>
  <si>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</si>
  <si>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Ausências Legais</t>
  </si>
  <si>
    <t>4.2</t>
  </si>
  <si>
    <t>Intrajornada</t>
  </si>
  <si>
    <t>TOTAL DO MÓDULO 4</t>
  </si>
  <si>
    <t>MÓDULO 5 – INSUMOS DIVERSOS</t>
  </si>
  <si>
    <t>INSUMOS DIVERSOS</t>
  </si>
  <si>
    <t>Materiais</t>
  </si>
  <si>
    <t>EPIs</t>
  </si>
  <si>
    <t>Uniformes</t>
  </si>
  <si>
    <t>Equipamentos / Ferramentas</t>
  </si>
  <si>
    <t>TOTAL DO MÓDULO 5</t>
  </si>
  <si>
    <r>
      <rPr>
        <b/>
        <sz val="10"/>
        <color theme="1"/>
        <rFont val="Arial"/>
        <charset val="134"/>
      </rPr>
      <t xml:space="preserve">BASE DE CÁLCULO PARA O MÓDULO 6 </t>
    </r>
    <r>
      <rPr>
        <sz val="10"/>
        <color theme="1"/>
        <rFont val="Arial"/>
        <charset val="134"/>
      </rPr>
      <t>(MÓDULO 1 + MÓDULO 2 + MÓDULO 3 + MÓDULO 4 + MÓDULO 5)</t>
    </r>
  </si>
  <si>
    <t>MÓDULO 4</t>
  </si>
  <si>
    <t>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</si>
  <si>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</si>
  <si>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</si>
  <si>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</si>
  <si>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</si>
  <si>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</si>
  <si>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</si>
  <si>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</si>
  <si>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</si>
  <si>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</si>
  <si>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</si>
  <si>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</si>
  <si>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</si>
  <si>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</si>
  <si>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</si>
  <si>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</si>
  <si>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</si>
  <si>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</si>
  <si>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</si>
  <si>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</si>
  <si>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</si>
  <si>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</si>
  <si>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</si>
  <si>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Categoria profissional: OPERADOR DE ROÇADEIRA - 44 HORAS</t>
  </si>
  <si>
    <t>Posto</t>
  </si>
  <si>
    <t>OPERADOR DE ROÇADEIRA</t>
  </si>
  <si>
    <t>6410-15</t>
  </si>
  <si>
    <t>QUANTIDADE DE EMPREGADOS NO POSTO</t>
  </si>
  <si>
    <t>PREÇO TOTAL DO EMPREGADO</t>
  </si>
  <si>
    <t>VALOR TOTAL DO POSTO</t>
  </si>
  <si>
    <t>TABELA 1 - QUANTITATIVOS MÍNIMOS DE MATERIAL DE LIMPEZA - UTILIZADOS PELO SERVENTE DE LIMPEZA INTERNO (ENTREGA MENSAL)</t>
  </si>
  <si>
    <t>UNIDADE</t>
  </si>
  <si>
    <t>QUANT.</t>
  </si>
  <si>
    <t>VALOR UNITÁRIO</t>
  </si>
  <si>
    <t>VALOR TOTAL</t>
  </si>
  <si>
    <t>01</t>
  </si>
  <si>
    <t>Água sanitária, composição química hipoclorito de sódio, hidróxido de sódio, cloreto, teor cloro ativo varia de 2 a 2,50%,  classe  corrosivo classe 8,  número risco 85, risco saúde 3, corrosividade 1, peso molecular cloro 74,50, densidade de 1,20 a 1 g/l, cor amarela esverdeada bastante fraca, aplicação lavagem e alvejante de roupas, banheiras, pias, tipo comum. Embalagem de 1l</t>
  </si>
  <si>
    <t>Caixa c/12 Unidades</t>
  </si>
  <si>
    <t>02</t>
  </si>
  <si>
    <t>Álcool etílico limpeza de ambientes, tipo etílico hidratado (líquido), aplicação limpeza, Concentração 70%. Embalagem de 1 L</t>
  </si>
  <si>
    <t>03</t>
  </si>
  <si>
    <t>Solução ácida para limpeza, embalagem de 1 litro</t>
  </si>
  <si>
    <t>Unidade</t>
  </si>
  <si>
    <t>04</t>
  </si>
  <si>
    <t>Cera, tipo líquida, cor incolor leitoso, composição a base de água, carnaúba e resinas metalizadas, características adicionais antiderrapante, impermeabilizante, aplicação limpeza de pisos. Galão com 5 litros</t>
  </si>
  <si>
    <t>05</t>
  </si>
  <si>
    <t>Desodorizador, apresentação aerosol, aplicação aromatizador ambiental, características adicionais Ação neutralizante. Embalagem de 360 ml</t>
  </si>
  <si>
    <t>06</t>
  </si>
  <si>
    <t>Desinfetante, composição à base de quaternário de amônio, forma física solução aquosa concentrada, característica adicional com aroma, embalagem de 1 litro</t>
  </si>
  <si>
    <t>07</t>
  </si>
  <si>
    <t>Desodorizador sanitário, composição paradicloro benzeno, essência e corante, peso líquido 35g, aspecto físico tablete sólido, características adicionais suporte
plástico para vaso sanitário.</t>
  </si>
  <si>
    <t>08</t>
  </si>
  <si>
    <t>Azulim. Embalagem de 1 litro</t>
  </si>
  <si>
    <t>09</t>
  </si>
  <si>
    <t>Flanela tamanho 40 x 60 cm (no mínimo). Podendo variar em até 5% para mais ou para menos</t>
  </si>
  <si>
    <t>10</t>
  </si>
  <si>
    <t>Lustra móveis. Embalagem de 200 ml</t>
  </si>
  <si>
    <t>11</t>
  </si>
  <si>
    <t>Pano de chão alvejado – tamanho aprox. De 60 x 40cm - com resistência aproximada de 24 (vinte e quatro) batidas</t>
  </si>
  <si>
    <t>12</t>
  </si>
  <si>
    <t>Palha de aço fina</t>
  </si>
  <si>
    <t>Fardo c/ 14 unidades</t>
  </si>
  <si>
    <t>13</t>
  </si>
  <si>
    <t>Veneno para matar insetos. Embalagem de 300 ml / 196 g</t>
  </si>
  <si>
    <t>14</t>
  </si>
  <si>
    <t>Papel toalha picotado, com 1250 folhas tamanho 23 x 21 cm</t>
  </si>
  <si>
    <t>Pacote c/ 1250 folhas</t>
  </si>
  <si>
    <t>15</t>
  </si>
  <si>
    <t>Papel higiênico, material celulose virgem, comprimento 30 m, largura 10 cm, tipo picotado, quantidade Folha dupla, cor branca, características adicionais extra macio e sem perfume. Fardo com 64 unidades</t>
  </si>
  <si>
    <t>Fardo c/ 64 pacotes c/ 4 rolos</t>
  </si>
  <si>
    <t>16</t>
  </si>
  <si>
    <t>Papel higiênico extra macio e absorvente, comprimento: 300m (cada rolo).  Embalagem: 12 unidade.</t>
  </si>
  <si>
    <t>Fardo c/ 12 unidades</t>
  </si>
  <si>
    <t>17</t>
  </si>
  <si>
    <t>Sabonete líquido, aspecto físico líquido Cremoso perolado, aplicação assepsia das mãos, características Adicionais ph neutro, densidade 0,9 a 1,05 g/m3, composição agentes emolientes e hidratantes, compostos de sais.</t>
  </si>
  <si>
    <t>Frasco c/ 5 litros</t>
  </si>
  <si>
    <t>18</t>
  </si>
  <si>
    <t>Sabão em pó granulado. Embalagem de 500g</t>
  </si>
  <si>
    <t>Pacote</t>
  </si>
  <si>
    <t>19</t>
  </si>
  <si>
    <t>Sabão em barra, glicerinado, pacote com 1 kg Divididos em 5 barras de 200 gr.</t>
  </si>
  <si>
    <t>Pacote c/ 5 barras</t>
  </si>
  <si>
    <t>Saco plástico para lixo de 30 litros</t>
  </si>
  <si>
    <t>Fardo com 100 unidades</t>
  </si>
  <si>
    <t>Saco plástico para lixo 50 litros</t>
  </si>
  <si>
    <t>Saco Plástico pra lixo 100 litros</t>
  </si>
  <si>
    <t>Álcool em gel, embalagem contendo 550ml, caixa</t>
  </si>
  <si>
    <t>Esponja dupla face para limpeza</t>
  </si>
  <si>
    <t>Caixa com 60 unidades</t>
  </si>
  <si>
    <t>Detergente líquido neutro, embalagem de 500 ml</t>
  </si>
  <si>
    <t>Caixa com 24 unidades</t>
  </si>
  <si>
    <t>Cera, tipo líquida, cor preta, aplicação limpeza de pisos. Galão com 5 litros</t>
  </si>
  <si>
    <t>Soda cáustica, pote 500 g</t>
  </si>
  <si>
    <t>Limpador para quadro branco, com gatilho spray 500 ml</t>
  </si>
  <si>
    <t>Pá pequena material plástico com cabo de 80cm para lixo</t>
  </si>
  <si>
    <t>Rodo de plástico 40cm, com cabo madeira, aplicação limpeza em geral.</t>
  </si>
  <si>
    <t>Balde plástico cap. 30 litros com tampa</t>
  </si>
  <si>
    <t>Balde plástico cap. 10 litros</t>
  </si>
  <si>
    <t>Vassoura de nylon, p/uso em vaso sanitário, c/cabo de material Plástico, impermeável, passível de desinfecção</t>
  </si>
  <si>
    <t>Escovinha de nylon</t>
  </si>
  <si>
    <t>Lixeira plástica de 10 litros</t>
  </si>
  <si>
    <t>Vassoura, material com cerdas de pelo sintético, material cabo madeira,
Comprimento cepa 30 cm, aplicação Limpeza em geral</t>
  </si>
  <si>
    <t>Espanador de pó 40cm pena de avestruz</t>
  </si>
  <si>
    <t>EMPREGADOS</t>
  </si>
  <si>
    <t>VALOR MENSAL POR EMPREGADO</t>
  </si>
  <si>
    <t>TABELA 2 - MATERIAIS – AQUISIÇÃO IMEDIATA (ESTIMATIVA DE ENTREGA: ANUAL)</t>
  </si>
  <si>
    <t>SERVENTE DE LIMPEZA INTERNA</t>
  </si>
  <si>
    <t>Dispenser para papel toalha</t>
  </si>
  <si>
    <t>Dispenser para sabonete líquido, capacidade 800ml</t>
  </si>
  <si>
    <t>Dispenser para álcool em gel, capacidade 800ml</t>
  </si>
  <si>
    <t>Mangueira para jardim ¾' x 2,00mm peça com 30 metros.</t>
  </si>
  <si>
    <t>Mangueira para jardim ½” x 2,00mm peça com 30 metros.</t>
  </si>
  <si>
    <t>Adaptador de mangueiras ½”</t>
  </si>
  <si>
    <t>Adaptador de mangueiras ¾'</t>
  </si>
  <si>
    <t>Cavalete piso molhado/escorregadio, medindo 62/30cm fabricado em PEAD (polietileno de alta resistência)</t>
  </si>
  <si>
    <t>Desentupidor vaso sanitário: haste de plástico 40cm e base de borracha</t>
  </si>
  <si>
    <t>Rodo de alumínio com cabo de madeira, 40cm</t>
  </si>
  <si>
    <t>Espanador De Microfibra Para Limpeza Eletrostático Extensível Com Haste   Longa 142 Cm Cabeça Dobrável</t>
  </si>
  <si>
    <t>SERVENTE DE LIMPEZA EXTERNA</t>
  </si>
  <si>
    <t>Extensão monofásica 2,5mm com 45m de extensão</t>
  </si>
  <si>
    <t>Pedestal de Isolamento zebrada, confeccionado em três partes: Base soprada em PP (polipropileno) + Tubo em PVC + Tampa injetada em poliacetal, com dois ganchos opostos do mesmo material da tampa para fixação de corrente plástica, cordas ou fita zebrada, medindo 95cm altura (base+tubo+tampa)</t>
  </si>
  <si>
    <t>Corrente plástica zebrada,   nas cores padrão, preto e amarelo com elos pequenos (38mm x 21mm x 5mm), resistente às intempéries climáticas e proteção contra raios UV, com 5 m de comprimento</t>
  </si>
  <si>
    <t>Fita zebrada, 70mm x 200mm</t>
  </si>
  <si>
    <t>Rolo</t>
  </si>
  <si>
    <t>Vassoura Rastelo Fixa 22 Dentes Em Aço</t>
  </si>
  <si>
    <t>Podador de galhos altos, serrote com cabo extensível 2,4</t>
  </si>
  <si>
    <t>7</t>
  </si>
  <si>
    <t>Tesoura de poda, para cerca viva e jardinagem</t>
  </si>
  <si>
    <t>Fio de nylon quadrado 3,0mm x 120m para roçadeira 55cc</t>
  </si>
  <si>
    <t>Bobina</t>
  </si>
  <si>
    <t>VALOR TOTAL SERVENTE DE LIMPEZA INTERNA</t>
  </si>
  <si>
    <t>VALOR TOTAL SERVENTE DE LIMPEZA EXTERNA</t>
  </si>
  <si>
    <t>VALOR TOTAL OPERADOR DE ROÇADEIRA</t>
  </si>
  <si>
    <t>TABELA 3 - FERRAMENTAS – AQUISIÇÃO IMEDIATA</t>
  </si>
  <si>
    <t>Chibanca</t>
  </si>
  <si>
    <t>Picareta</t>
  </si>
  <si>
    <t>Forcado reto em aço-carbono, 4 dentes.</t>
  </si>
  <si>
    <t>Forcado curvo em aço-carbono, 4 dentes.</t>
  </si>
  <si>
    <t>Forcado reto em aço-carbono, 10 dentes.</t>
  </si>
  <si>
    <t>Pá ajuntadeira quadrada em aço SAE 1045, diâmetro de olho 35 mm, acabamento em verniz e cabo de madeira com apoio "D" em PVC. Dimensões (305 x 230 mm).</t>
  </si>
  <si>
    <t>Enxada Norte estreita em aço SAE 1045, diâmetro de olho 38 mm, acabamento em verniz e cabo de madeira redondo, dimensões (2,0 libras – 230 x 240 mm).</t>
  </si>
  <si>
    <t>Vassourão gari reforçado, cerdas de PET 0,8 mm, dimensões 40 x 6 x 10 cm para varrição pesada. Cabo em madeira 1,40m.</t>
  </si>
  <si>
    <t>Facão para mato em aço-carbono 18" com fio liso, cabo em PEAD ou madeira.</t>
  </si>
  <si>
    <t>Facão corte de cana em aço-carbono 12", cabo em PEAD ou madeira</t>
  </si>
  <si>
    <t>Ciscador ancinho de aço</t>
  </si>
  <si>
    <t xml:space="preserve">TABELA 4 - EQUIPAMENTOS </t>
  </si>
  <si>
    <t>COMUM A TODOS OS CARGOS</t>
  </si>
  <si>
    <t>VIDA ÚTIL (MESES)</t>
  </si>
  <si>
    <t>VALOR DEPRECIÁVEL (80%)</t>
  </si>
  <si>
    <t>DEPRECIAÇÃO MENSAL</t>
  </si>
  <si>
    <t>Registro de ponto eletrônico</t>
  </si>
  <si>
    <t>Escada de alumínio com 4 degraus</t>
  </si>
  <si>
    <t>Cortador de grama, voltagem 220v, tipo elétrico, potência mínima de 1.000w, coletor com capacidade mínima de 23 litros.</t>
  </si>
  <si>
    <t>Carrinho de mão</t>
  </si>
  <si>
    <t>Contêiner coletor de lixo, mat. Plástico, com 2 (dois) rodízios e capacidade para 240L</t>
  </si>
  <si>
    <t>Escada de alumínio com 12 degraus</t>
  </si>
  <si>
    <t>Roçadeira manual, 40,2 cilindradas, gasolina, potência do motor de 2,2 hp, tipo de empunhadura guidões ajustáveis, tipo cortador fio náilon e/ou lâmina aço.</t>
  </si>
  <si>
    <t>VALOR TOTAL ENCARREGADO</t>
  </si>
  <si>
    <t>TABELA 5 - QUANTITATIVOS MÍNIMOS DE EPI'S ANUAL –  SERVENTE DE LIMPEZA EXTERNO</t>
  </si>
  <si>
    <t>Luva de segurança confeccionada em raspa, tira de reforço externo em raspa entre os dedos polegar e indicador, punhos de 7cm, 15cm e 20cm. Com CA.</t>
  </si>
  <si>
    <t>PAR</t>
  </si>
  <si>
    <t>Chapéu com proteção solar para rosto, nuca e orelhas. Com CA.</t>
  </si>
  <si>
    <t>Óculos de Segurança (Lentes em Policarbonato de alta resistência a impacto, anti-risco e incolor. Hastes tipo espátula com ajuste de comprimento, proteção UVA). Com CA.</t>
  </si>
  <si>
    <t>TOTAL ANUAL</t>
  </si>
  <si>
    <t>TOTAL MENSAL POR FUNCIONÁRIO</t>
  </si>
  <si>
    <t>TABELA 5 - QUANTITATIVOS MÍNIMOS DE EPI'S ANUAL –  SERVENTE DE LIMPEZA INTERNO (DEMAIS ÁREAS)</t>
  </si>
  <si>
    <t>Luva de látex, hipoalergênica, revestimento interno em verniz silver, superfície externa antiderrapante na palma e face palmar dos dedos, lisa na face dorsal e punho; Tamanho P/ M/ G/ GG</t>
  </si>
  <si>
    <t>TABELA 5 - QUANTITATIVOS MÍNIMOS DE EPI'S ANUAL –  SERVENTE DE LIMPEZA INTERNO (ÁREAS INSALUBRES)</t>
  </si>
  <si>
    <t>Respirador completo com filtro p/ produto químico. Com CA.</t>
  </si>
  <si>
    <t>Máscara respirador descartável PFF2/ N95</t>
  </si>
  <si>
    <t>TABELA 5 - QUANTITATIVOS MÍNIMOS DE EPI'S ANUAL –  OPERADOR DE ROÇADEIRA</t>
  </si>
  <si>
    <t>Protetor facial com tela de aço para operador de roçadeira. Com CA.</t>
  </si>
  <si>
    <t>Tela de proteção para trabalhos com roçadeira, medindo 2m x 5m, confeccionada em nylon, com hastes metálicas.</t>
  </si>
  <si>
    <t>Protetor Auricular de inserção em silicone. Atenuação mínima de 15 dB. Com CA. Caixa c/ 100 unidades</t>
  </si>
  <si>
    <t>CAIXA</t>
  </si>
  <si>
    <t>Avental de segurança confeccionado em raspa com alça no pescoço e tiras de regulagem na cintura. Com CA</t>
  </si>
  <si>
    <t>Perneira confeccionada em raspa, com fechamento em velcro ou fivela para ajuste. Com CA.</t>
  </si>
  <si>
    <t xml:space="preserve">TABELA COM QUANTITATIVO DE UNIFORMES </t>
  </si>
  <si>
    <t>TABELA 6 - SERVENTE DE LIMPEZA INTERNA (ÁREAS INSALUBRES)</t>
  </si>
  <si>
    <t>ENTREGA</t>
  </si>
  <si>
    <t>QT. POR FUNCIONÁRIO</t>
  </si>
  <si>
    <t>Bota de borracha, cor preta, cano médio, com palmilha antibacteriana e confortável, com solado de borracha antiderrapante, com CA*</t>
  </si>
  <si>
    <t>ANUAL</t>
  </si>
  <si>
    <t>Calça em brim/ jeans com bolsos laterais e traseiros</t>
  </si>
  <si>
    <t>Camiseta 100% algodão, manga curta e gola careca, com logo da empresa</t>
  </si>
  <si>
    <t>Crachá de identificação com foto, porta crachá e prendedor</t>
  </si>
  <si>
    <t>Meia 100% algodão, cano médio</t>
  </si>
  <si>
    <t>Calçado de segurança, cor preta com solado antiderrapante, impermeável, com palmilha antibacteriana e confortável. Com CA.</t>
  </si>
  <si>
    <t>VALOR ANUAL</t>
  </si>
  <si>
    <t>VALOR MENSAL</t>
  </si>
  <si>
    <t>TABELA 6 - SERVENTE DE LIMPEZA INTERNA (DEMAIS ÁREAS) E ENCARREGADO</t>
  </si>
  <si>
    <t>TABELA 6 - SERVENTE DE LIMPEZA EXTERNA E OPERADOR DE ROÇADEIRA</t>
  </si>
  <si>
    <t>Camiseta 100% algodão, manga longa e gola careca, com proteção UV</t>
  </si>
</sst>
</file>

<file path=xl/styles.xml><?xml version="1.0" encoding="utf-8"?>
<styleSheet xmlns="http://schemas.openxmlformats.org/spreadsheetml/2006/main" xmlns:xr9="http://schemas.microsoft.com/office/spreadsheetml/2016/revision9">
  <numFmts count="21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 &quot;* #,##0.00_-;&quot;-R$ &quot;* #,##0.00_-;_-&quot;R$ &quot;* \-??_-;_-@_-"/>
    <numFmt numFmtId="181" formatCode="_(* #,##0.00_);_(* \(#,##0.00\);_(* \-??_);_(@_)"/>
    <numFmt numFmtId="182" formatCode="&quot; &quot;[$R$-416]&quot; &quot;#,##0.00&quot; &quot;;&quot;-&quot;[$R$-416]&quot; &quot;#,##0.00&quot; &quot;;&quot; &quot;[$R$-416]&quot; -&quot;00&quot; &quot;;&quot; &quot;@&quot; &quot;"/>
    <numFmt numFmtId="183" formatCode="&quot;R$&quot;\ #,##0.00_);[Red]\(&quot;R$&quot;\ #,###.00\)"/>
    <numFmt numFmtId="184" formatCode="_-&quot;R$&quot;\ * #,##0.00_-;\-&quot;R$&quot;\ * #,##0.00_-;_-&quot;R$&quot;\ * &quot;-&quot;??_-;_-@"/>
    <numFmt numFmtId="185" formatCode="d/m/yyyy"/>
    <numFmt numFmtId="186" formatCode="[$R$-416]\ #,##0.00;[Red]\-[$R$-416]\ #,##0.00"/>
    <numFmt numFmtId="187" formatCode="0.00_);[Red]\(0.00\)"/>
    <numFmt numFmtId="188" formatCode="0.0%"/>
    <numFmt numFmtId="189" formatCode="0.0000"/>
    <numFmt numFmtId="190" formatCode="0.000%"/>
    <numFmt numFmtId="191" formatCode="0.00000"/>
    <numFmt numFmtId="192" formatCode="_-[$R$-416]\ * #,##0.00_-;\-[$R$-416]\ * #,##0.00_-;_-[$R$-416]\ * &quot;-&quot;??_-;_-@_-"/>
    <numFmt numFmtId="193" formatCode="_-* #,##0.00_-;\-* #,##0.00_-;_-* \-??_-;_-@_-"/>
    <numFmt numFmtId="194" formatCode="_(&quot;R$ &quot;* #,##0.00_);_(&quot;R$ &quot;* \(#,##0.00\);_(&quot;R$ &quot;* \-??_);_(@_)"/>
    <numFmt numFmtId="195" formatCode="0.000"/>
    <numFmt numFmtId="196" formatCode="d\.m\.yy"/>
  </numFmts>
  <fonts count="73">
    <font>
      <sz val="11"/>
      <color rgb="FF000000"/>
      <name val="Calibri"/>
      <charset val="134"/>
      <scheme val="minor"/>
    </font>
    <font>
      <b/>
      <sz val="11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sz val="10"/>
      <color rgb="FF000000"/>
      <name val="Times New Roman"/>
      <charset val="134"/>
    </font>
    <font>
      <b/>
      <sz val="11"/>
      <name val="Calibri"/>
      <charset val="134"/>
      <scheme val="minor"/>
    </font>
    <font>
      <sz val="11"/>
      <color rgb="FF800000"/>
      <name val="Calibri"/>
      <charset val="134"/>
    </font>
    <font>
      <vertAlign val="superscript"/>
      <sz val="11"/>
      <color theme="1"/>
      <name val="Calibri"/>
      <charset val="134"/>
    </font>
    <font>
      <b/>
      <sz val="11"/>
      <color rgb="FF000000"/>
      <name val="Calibri"/>
      <charset val="134"/>
    </font>
    <font>
      <sz val="11"/>
      <name val="Calibri"/>
      <charset val="134"/>
    </font>
    <font>
      <sz val="11"/>
      <color rgb="FF00B050"/>
      <name val="Calibri"/>
      <charset val="134"/>
      <scheme val="minor"/>
    </font>
    <font>
      <sz val="11"/>
      <color rgb="FF00B050"/>
      <name val="Calibri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2"/>
      <color rgb="FF000000"/>
      <name val="Arial"/>
      <charset val="134"/>
    </font>
    <font>
      <b/>
      <sz val="12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0"/>
      <name val="Calibri"/>
      <charset val="134"/>
      <scheme val="minor"/>
    </font>
    <font>
      <b/>
      <sz val="12"/>
      <color rgb="FF0033CC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2"/>
      <name val="Calibri"/>
      <charset val="134"/>
      <scheme val="minor"/>
    </font>
    <font>
      <b/>
      <u/>
      <sz val="12"/>
      <name val="Calibri"/>
      <charset val="134"/>
      <scheme val="minor"/>
    </font>
    <font>
      <b/>
      <sz val="12"/>
      <color rgb="FF000000"/>
      <name val="Calibri"/>
      <charset val="1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26"/>
      <color rgb="FFFF0000"/>
      <name val="Calibri"/>
      <charset val="134"/>
      <scheme val="minor"/>
    </font>
    <font>
      <sz val="11"/>
      <color rgb="FF000000"/>
      <name val="Calibri"/>
      <charset val="1"/>
    </font>
    <font>
      <sz val="11"/>
      <color rgb="FF000000"/>
      <name val="Arial1"/>
      <charset val="1"/>
    </font>
    <font>
      <b/>
      <sz val="10"/>
      <color rgb="FF000000"/>
      <name val="Times New Roman"/>
      <charset val="134"/>
    </font>
    <font>
      <b/>
      <sz val="10"/>
      <color theme="1"/>
      <name val="Times New Roman"/>
      <charset val="134"/>
    </font>
    <font>
      <b/>
      <sz val="10"/>
      <color rgb="FFFFFFFF"/>
      <name val="Times New Roman"/>
      <charset val="134"/>
    </font>
    <font>
      <b/>
      <i/>
      <sz val="10"/>
      <color rgb="FFFFFFFF"/>
      <name val="Times New Roman"/>
      <charset val="134"/>
    </font>
    <font>
      <i/>
      <sz val="10"/>
      <color rgb="FF000000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i/>
      <sz val="10"/>
      <color theme="1"/>
      <name val="Times New Roman"/>
      <charset val="134"/>
    </font>
    <font>
      <sz val="10"/>
      <color rgb="FFFFFFFF"/>
      <name val="Times New Roman"/>
      <charset val="134"/>
    </font>
    <font>
      <b/>
      <i/>
      <sz val="10"/>
      <color rgb="FF000000"/>
      <name val="Times New Roman"/>
      <charset val="134"/>
    </font>
    <font>
      <i/>
      <sz val="10"/>
      <color rgb="FFFFFFFF"/>
      <name val="Times New Roman"/>
      <charset val="134"/>
    </font>
    <font>
      <sz val="10"/>
      <color rgb="FFC9211E"/>
      <name val="Times New Roman"/>
      <charset val="134"/>
    </font>
    <font>
      <b/>
      <sz val="9"/>
      <color rgb="FF000000"/>
      <name val="Arial"/>
      <charset val="134"/>
    </font>
    <font>
      <sz val="9"/>
      <color rgb="FF000000"/>
      <name val="Arial"/>
      <charset val="134"/>
    </font>
    <font>
      <sz val="9"/>
      <color theme="1"/>
      <name val="Arial"/>
      <charset val="134"/>
    </font>
    <font>
      <b/>
      <sz val="9"/>
      <color theme="1"/>
      <name val="Arial"/>
      <charset val="134"/>
    </font>
    <font>
      <i/>
      <sz val="11"/>
      <color rgb="FF000000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2"/>
      <color rgb="FFFF0000"/>
      <name val="Calibri"/>
      <charset val="134"/>
      <scheme val="minor"/>
    </font>
    <font>
      <b/>
      <sz val="9"/>
      <name val="Segoe UI"/>
      <charset val="134"/>
    </font>
    <font>
      <sz val="9"/>
      <name val="Segoe UI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BE5D5"/>
        <bgColor rgb="FFFBE5D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BE5D5"/>
      </patternFill>
    </fill>
    <fill>
      <patternFill patternType="solid">
        <fgColor theme="0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5" tint="0.799829096346934"/>
        <bgColor rgb="FFFBE5D5"/>
      </patternFill>
    </fill>
    <fill>
      <patternFill patternType="solid">
        <fgColor rgb="FFFFFF00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E2EFD9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D9D9D9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rgb="FF34A853"/>
      </patternFill>
    </fill>
    <fill>
      <patternFill patternType="solid">
        <fgColor theme="7"/>
        <bgColor theme="7"/>
      </patternFill>
    </fill>
    <fill>
      <patternFill patternType="solid">
        <fgColor rgb="FF000000"/>
        <bgColor rgb="FF000000"/>
      </patternFill>
    </fill>
    <fill>
      <patternFill patternType="solid">
        <fgColor theme="2" tint="-0.249977111117893"/>
        <bgColor rgb="FFEFEFE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E599"/>
        <bgColor rgb="FFFFE599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rgb="FFFFE599"/>
      </patternFill>
    </fill>
    <fill>
      <patternFill patternType="solid">
        <fgColor theme="2" tint="-0.249977111117893"/>
        <bgColor rgb="FFF3F3F3"/>
      </patternFill>
    </fill>
    <fill>
      <patternFill patternType="solid">
        <fgColor theme="2" tint="-0.249977111117893"/>
        <bgColor rgb="FFD9D9D9"/>
      </patternFill>
    </fill>
    <fill>
      <patternFill patternType="solid">
        <fgColor rgb="FF34A853"/>
        <bgColor rgb="FF34A853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76195562608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9CC3E5"/>
        <bgColor rgb="FF9CC3E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0000"/>
      </top>
      <bottom style="thin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176" fontId="50" fillId="0" borderId="0" applyFont="0" applyFill="0" applyBorder="0" applyAlignment="0" applyProtection="0">
      <alignment vertical="center"/>
    </xf>
    <xf numFmtId="177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178" fontId="50" fillId="0" borderId="0" applyFont="0" applyFill="0" applyBorder="0" applyAlignment="0" applyProtection="0">
      <alignment vertical="center"/>
    </xf>
    <xf numFmtId="179" fontId="5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40" borderId="39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40" applyNumberFormat="0" applyFill="0" applyAlignment="0" applyProtection="0">
      <alignment vertical="center"/>
    </xf>
    <xf numFmtId="0" fontId="57" fillId="0" borderId="40" applyNumberFormat="0" applyFill="0" applyAlignment="0" applyProtection="0">
      <alignment vertical="center"/>
    </xf>
    <xf numFmtId="0" fontId="58" fillId="0" borderId="4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41" borderId="42" applyNumberFormat="0" applyAlignment="0" applyProtection="0">
      <alignment vertical="center"/>
    </xf>
    <xf numFmtId="0" fontId="60" fillId="42" borderId="43" applyNumberFormat="0" applyAlignment="0" applyProtection="0">
      <alignment vertical="center"/>
    </xf>
    <xf numFmtId="0" fontId="61" fillId="42" borderId="42" applyNumberFormat="0" applyAlignment="0" applyProtection="0">
      <alignment vertical="center"/>
    </xf>
    <xf numFmtId="0" fontId="62" fillId="43" borderId="44" applyNumberFormat="0" applyAlignment="0" applyProtection="0">
      <alignment vertical="center"/>
    </xf>
    <xf numFmtId="0" fontId="63" fillId="0" borderId="45" applyNumberFormat="0" applyFill="0" applyAlignment="0" applyProtection="0">
      <alignment vertical="center"/>
    </xf>
    <xf numFmtId="0" fontId="64" fillId="0" borderId="46" applyNumberFormat="0" applyFill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69" fillId="51" borderId="0" applyNumberFormat="0" applyBorder="0" applyAlignment="0" applyProtection="0">
      <alignment vertical="center"/>
    </xf>
    <xf numFmtId="0" fontId="69" fillId="52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68" fillId="57" borderId="0" applyNumberFormat="0" applyBorder="0" applyAlignment="0" applyProtection="0">
      <alignment vertical="center"/>
    </xf>
    <xf numFmtId="0" fontId="69" fillId="58" borderId="0" applyNumberFormat="0" applyBorder="0" applyAlignment="0" applyProtection="0">
      <alignment vertical="center"/>
    </xf>
    <xf numFmtId="0" fontId="69" fillId="59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4" borderId="0" applyNumberFormat="0" applyBorder="0" applyAlignment="0" applyProtection="0">
      <alignment vertical="center"/>
    </xf>
    <xf numFmtId="0" fontId="69" fillId="65" borderId="0" applyNumberFormat="0" applyBorder="0" applyAlignment="0" applyProtection="0">
      <alignment vertical="center"/>
    </xf>
    <xf numFmtId="0" fontId="69" fillId="66" borderId="0" applyNumberFormat="0" applyBorder="0" applyAlignment="0" applyProtection="0">
      <alignment vertical="center"/>
    </xf>
    <xf numFmtId="0" fontId="68" fillId="67" borderId="0" applyNumberFormat="0" applyBorder="0" applyAlignment="0" applyProtection="0">
      <alignment vertical="center"/>
    </xf>
    <xf numFmtId="180" fontId="32" fillId="0" borderId="0" applyBorder="0" applyProtection="0"/>
    <xf numFmtId="180" fontId="32" fillId="0" borderId="0" applyBorder="0" applyProtection="0"/>
    <xf numFmtId="0" fontId="32" fillId="0" borderId="0"/>
    <xf numFmtId="0" fontId="4" fillId="0" borderId="0"/>
    <xf numFmtId="0" fontId="4" fillId="0" borderId="0"/>
    <xf numFmtId="0" fontId="27" fillId="0" borderId="0"/>
    <xf numFmtId="181" fontId="10" fillId="0" borderId="0" applyBorder="0" applyProtection="0"/>
    <xf numFmtId="181" fontId="10" fillId="0" borderId="0" applyBorder="0" applyProtection="0"/>
    <xf numFmtId="182" fontId="4" fillId="0" borderId="0" applyFont="0" applyFill="0" applyBorder="0" applyAlignment="0" applyProtection="0"/>
  </cellStyleXfs>
  <cellXfs count="49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83" fontId="1" fillId="2" borderId="4" xfId="0" applyNumberFormat="1" applyFont="1" applyFill="1" applyBorder="1" applyAlignment="1">
      <alignment horizontal="center" vertical="center" wrapText="1"/>
    </xf>
    <xf numFmtId="183" fontId="1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83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83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83" fontId="1" fillId="2" borderId="1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183" fontId="1" fillId="2" borderId="4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83" fontId="3" fillId="0" borderId="0" xfId="0" applyNumberFormat="1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183" fontId="4" fillId="0" borderId="0" xfId="0" applyNumberFormat="1" applyFont="1"/>
    <xf numFmtId="0" fontId="5" fillId="0" borderId="0" xfId="0" applyFont="1" applyAlignment="1">
      <alignment vertical="center"/>
    </xf>
    <xf numFmtId="183" fontId="5" fillId="0" borderId="0" xfId="0" applyNumberFormat="1" applyFont="1" applyAlignment="1">
      <alignment vertical="center"/>
    </xf>
    <xf numFmtId="183" fontId="3" fillId="0" borderId="4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184" fontId="1" fillId="2" borderId="4" xfId="0" applyNumberFormat="1" applyFont="1" applyFill="1" applyBorder="1" applyAlignment="1">
      <alignment vertical="center"/>
    </xf>
    <xf numFmtId="183" fontId="4" fillId="0" borderId="0" xfId="0" applyNumberFormat="1" applyFont="1" applyAlignment="1">
      <alignment vertical="center"/>
    </xf>
    <xf numFmtId="0" fontId="1" fillId="2" borderId="11" xfId="0" applyFont="1" applyFill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84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184" fontId="1" fillId="2" borderId="6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84" fontId="1" fillId="2" borderId="4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184" fontId="1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0" borderId="0" xfId="0" applyFont="1"/>
    <xf numFmtId="183" fontId="7" fillId="0" borderId="0" xfId="0" applyNumberFormat="1" applyFont="1"/>
    <xf numFmtId="0" fontId="1" fillId="2" borderId="4" xfId="0" applyFont="1" applyFill="1" applyBorder="1" applyAlignment="1">
      <alignment horizontal="center" wrapText="1"/>
    </xf>
    <xf numFmtId="183" fontId="1" fillId="2" borderId="4" xfId="0" applyNumberFormat="1" applyFont="1" applyFill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183" fontId="3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/>
    <xf numFmtId="183" fontId="1" fillId="2" borderId="4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3" fontId="3" fillId="0" borderId="4" xfId="0" applyNumberFormat="1" applyFont="1" applyBorder="1"/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183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184" fontId="1" fillId="2" borderId="4" xfId="0" applyNumberFormat="1" applyFont="1" applyFill="1" applyBorder="1"/>
    <xf numFmtId="0" fontId="1" fillId="2" borderId="4" xfId="0" applyFont="1" applyFill="1" applyBorder="1"/>
    <xf numFmtId="184" fontId="1" fillId="0" borderId="3" xfId="0" applyNumberFormat="1" applyFont="1" applyBorder="1"/>
    <xf numFmtId="0" fontId="3" fillId="0" borderId="0" xfId="0" applyFont="1"/>
    <xf numFmtId="184" fontId="1" fillId="2" borderId="4" xfId="0" applyNumberFormat="1" applyFont="1" applyFill="1" applyBorder="1" applyAlignment="1">
      <alignment wrapText="1"/>
    </xf>
    <xf numFmtId="177" fontId="1" fillId="2" borderId="4" xfId="0" applyNumberFormat="1" applyFont="1" applyFill="1" applyBorder="1"/>
    <xf numFmtId="184" fontId="1" fillId="2" borderId="5" xfId="0" applyNumberFormat="1" applyFont="1" applyFill="1" applyBorder="1"/>
    <xf numFmtId="177" fontId="9" fillId="6" borderId="6" xfId="0" applyNumberFormat="1" applyFont="1" applyFill="1" applyBorder="1"/>
    <xf numFmtId="0" fontId="0" fillId="3" borderId="0" xfId="0" applyFill="1"/>
    <xf numFmtId="183" fontId="3" fillId="0" borderId="4" xfId="0" applyNumberFormat="1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83" fontId="3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83" fontId="3" fillId="0" borderId="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84" fontId="1" fillId="2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center" vertical="center" wrapText="1"/>
    </xf>
    <xf numFmtId="183" fontId="3" fillId="8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11" fillId="3" borderId="0" xfId="0" applyFont="1" applyFill="1"/>
    <xf numFmtId="0" fontId="12" fillId="3" borderId="0" xfId="0" applyFont="1" applyFill="1" applyAlignment="1">
      <alignment horizontal="left"/>
    </xf>
    <xf numFmtId="183" fontId="12" fillId="3" borderId="0" xfId="0" applyNumberFormat="1" applyFont="1" applyFill="1"/>
    <xf numFmtId="0" fontId="13" fillId="0" borderId="1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2" fillId="0" borderId="17" xfId="0" applyFont="1" applyBorder="1"/>
    <xf numFmtId="0" fontId="14" fillId="0" borderId="18" xfId="0" applyFont="1" applyBorder="1" applyAlignment="1">
      <alignment horizontal="center" vertical="center"/>
    </xf>
    <xf numFmtId="0" fontId="2" fillId="0" borderId="19" xfId="0" applyFont="1" applyBorder="1"/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/>
    <xf numFmtId="0" fontId="13" fillId="0" borderId="4" xfId="0" applyFont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4" fillId="0" borderId="4" xfId="0" applyFont="1" applyBorder="1"/>
    <xf numFmtId="10" fontId="14" fillId="0" borderId="4" xfId="0" applyNumberFormat="1" applyFont="1" applyBorder="1" applyAlignment="1">
      <alignment horizontal="center"/>
    </xf>
    <xf numFmtId="10" fontId="13" fillId="9" borderId="4" xfId="0" applyNumberFormat="1" applyFont="1" applyFill="1" applyBorder="1" applyAlignment="1">
      <alignment horizontal="center"/>
    </xf>
    <xf numFmtId="0" fontId="16" fillId="1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3" fillId="10" borderId="1" xfId="0" applyFont="1" applyFill="1" applyBorder="1" applyAlignment="1">
      <alignment horizontal="center"/>
    </xf>
    <xf numFmtId="0" fontId="2" fillId="0" borderId="15" xfId="0" applyFont="1" applyBorder="1"/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17" fillId="10" borderId="1" xfId="0" applyFont="1" applyFill="1" applyBorder="1" applyAlignment="1">
      <alignment horizontal="center"/>
    </xf>
    <xf numFmtId="0" fontId="14" fillId="11" borderId="1" xfId="0" applyFont="1" applyFill="1" applyBorder="1"/>
    <xf numFmtId="0" fontId="13" fillId="0" borderId="4" xfId="0" applyFont="1" applyFill="1" applyBorder="1" applyAlignment="1">
      <alignment horizontal="center"/>
    </xf>
    <xf numFmtId="0" fontId="14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184" fontId="14" fillId="0" borderId="4" xfId="0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5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15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6" fillId="10" borderId="11" xfId="0" applyFont="1" applyFill="1" applyBorder="1" applyAlignment="1">
      <alignment horizontal="center" vertical="center"/>
    </xf>
    <xf numFmtId="0" fontId="18" fillId="12" borderId="0" xfId="0" applyFont="1" applyFill="1" applyAlignment="1">
      <alignment horizontal="center" textRotation="255"/>
    </xf>
    <xf numFmtId="0" fontId="19" fillId="5" borderId="0" xfId="0" applyFont="1" applyFill="1"/>
    <xf numFmtId="0" fontId="2" fillId="0" borderId="20" xfId="0" applyFont="1" applyBorder="1"/>
    <xf numFmtId="0" fontId="13" fillId="0" borderId="3" xfId="0" applyFont="1" applyBorder="1" applyAlignment="1">
      <alignment horizontal="center"/>
    </xf>
    <xf numFmtId="185" fontId="14" fillId="0" borderId="4" xfId="0" applyNumberFormat="1" applyFont="1" applyBorder="1" applyAlignment="1">
      <alignment horizontal="center"/>
    </xf>
    <xf numFmtId="0" fontId="20" fillId="5" borderId="0" xfId="0" applyFont="1" applyFill="1" applyAlignment="1">
      <alignment vertical="center"/>
    </xf>
    <xf numFmtId="0" fontId="21" fillId="13" borderId="21" xfId="0" applyFont="1" applyFill="1" applyBorder="1" applyAlignment="1">
      <alignment vertical="center"/>
    </xf>
    <xf numFmtId="0" fontId="21" fillId="13" borderId="22" xfId="0" applyFont="1" applyFill="1" applyBorder="1" applyAlignment="1">
      <alignment vertical="center"/>
    </xf>
    <xf numFmtId="4" fontId="22" fillId="13" borderId="23" xfId="0" applyNumberFormat="1" applyFont="1" applyFill="1" applyBorder="1" applyAlignment="1">
      <alignment vertical="center"/>
    </xf>
    <xf numFmtId="4" fontId="22" fillId="13" borderId="24" xfId="0" applyNumberFormat="1" applyFont="1" applyFill="1" applyBorder="1" applyAlignment="1">
      <alignment vertical="center"/>
    </xf>
    <xf numFmtId="0" fontId="22" fillId="14" borderId="25" xfId="0" applyFont="1" applyFill="1" applyBorder="1" applyAlignment="1">
      <alignment horizontal="left" vertical="center"/>
    </xf>
    <xf numFmtId="4" fontId="22" fillId="14" borderId="25" xfId="0" applyNumberFormat="1" applyFont="1" applyFill="1" applyBorder="1" applyAlignment="1">
      <alignment horizontal="center" vertical="center"/>
    </xf>
    <xf numFmtId="0" fontId="18" fillId="5" borderId="0" xfId="0" applyFont="1" applyFill="1" applyAlignment="1">
      <alignment vertical="center"/>
    </xf>
    <xf numFmtId="4" fontId="22" fillId="13" borderId="26" xfId="0" applyNumberFormat="1" applyFont="1" applyFill="1" applyBorder="1" applyAlignment="1">
      <alignment vertical="center"/>
    </xf>
    <xf numFmtId="4" fontId="22" fillId="13" borderId="27" xfId="0" applyNumberFormat="1" applyFont="1" applyFill="1" applyBorder="1" applyAlignment="1">
      <alignment vertical="center"/>
    </xf>
    <xf numFmtId="0" fontId="21" fillId="8" borderId="21" xfId="0" applyFont="1" applyFill="1" applyBorder="1" applyAlignment="1">
      <alignment horizontal="left" vertical="center"/>
    </xf>
    <xf numFmtId="10" fontId="21" fillId="8" borderId="22" xfId="3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0" fontId="23" fillId="5" borderId="23" xfId="0" applyFont="1" applyFill="1" applyBorder="1" applyAlignment="1">
      <alignment horizontal="left" vertical="center"/>
    </xf>
    <xf numFmtId="2" fontId="23" fillId="5" borderId="24" xfId="0" applyNumberFormat="1" applyFont="1" applyFill="1" applyBorder="1" applyAlignment="1">
      <alignment horizontal="center" vertical="center"/>
    </xf>
    <xf numFmtId="186" fontId="14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left" vertical="center"/>
    </xf>
    <xf numFmtId="4" fontId="24" fillId="5" borderId="24" xfId="0" applyNumberFormat="1" applyFont="1" applyFill="1" applyBorder="1" applyAlignment="1">
      <alignment horizontal="center" vertical="center"/>
    </xf>
    <xf numFmtId="4" fontId="23" fillId="5" borderId="24" xfId="0" applyNumberFormat="1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left" vertical="center"/>
    </xf>
    <xf numFmtId="4" fontId="18" fillId="5" borderId="24" xfId="0" applyNumberFormat="1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left" vertical="center"/>
    </xf>
    <xf numFmtId="4" fontId="22" fillId="5" borderId="27" xfId="0" applyNumberFormat="1" applyFont="1" applyFill="1" applyBorder="1" applyAlignment="1">
      <alignment horizontal="center" vertical="center"/>
    </xf>
    <xf numFmtId="0" fontId="21" fillId="8" borderId="22" xfId="0" applyFont="1" applyFill="1" applyBorder="1" applyAlignment="1">
      <alignment horizontal="left" vertical="center"/>
    </xf>
    <xf numFmtId="187" fontId="14" fillId="0" borderId="4" xfId="0" applyNumberFormat="1" applyFont="1" applyBorder="1" applyAlignment="1">
      <alignment horizontal="right"/>
    </xf>
    <xf numFmtId="0" fontId="23" fillId="5" borderId="21" xfId="0" applyFont="1" applyFill="1" applyBorder="1" applyAlignment="1">
      <alignment horizontal="left" vertical="center"/>
    </xf>
    <xf numFmtId="10" fontId="23" fillId="5" borderId="22" xfId="3" applyNumberFormat="1" applyFont="1" applyFill="1" applyBorder="1" applyAlignment="1">
      <alignment horizontal="center" vertical="center"/>
    </xf>
    <xf numFmtId="187" fontId="15" fillId="0" borderId="4" xfId="0" applyNumberFormat="1" applyFont="1" applyBorder="1" applyAlignment="1">
      <alignment horizontal="right"/>
    </xf>
    <xf numFmtId="0" fontId="22" fillId="5" borderId="23" xfId="0" applyFont="1" applyFill="1" applyBorder="1" applyAlignment="1">
      <alignment horizontal="left" vertical="center"/>
    </xf>
    <xf numFmtId="10" fontId="23" fillId="5" borderId="24" xfId="3" applyNumberFormat="1" applyFont="1" applyFill="1" applyBorder="1" applyAlignment="1">
      <alignment horizontal="center" vertical="center"/>
    </xf>
    <xf numFmtId="0" fontId="18" fillId="12" borderId="0" xfId="0" applyFont="1" applyFill="1" applyAlignment="1">
      <alignment vertical="center"/>
    </xf>
    <xf numFmtId="184" fontId="13" fillId="9" borderId="4" xfId="0" applyNumberFormat="1" applyFont="1" applyFill="1" applyBorder="1"/>
    <xf numFmtId="4" fontId="18" fillId="14" borderId="0" xfId="0" applyNumberFormat="1" applyFont="1" applyFill="1" applyAlignment="1">
      <alignment vertical="center"/>
    </xf>
    <xf numFmtId="0" fontId="18" fillId="12" borderId="28" xfId="0" applyFont="1" applyFill="1" applyBorder="1" applyAlignment="1">
      <alignment vertical="center"/>
    </xf>
    <xf numFmtId="4" fontId="18" fillId="12" borderId="28" xfId="0" applyNumberFormat="1" applyFont="1" applyFill="1" applyBorder="1" applyAlignment="1">
      <alignment vertical="center"/>
    </xf>
    <xf numFmtId="187" fontId="14" fillId="0" borderId="4" xfId="0" applyNumberFormat="1" applyFont="1" applyBorder="1"/>
    <xf numFmtId="184" fontId="13" fillId="10" borderId="4" xfId="0" applyNumberFormat="1" applyFont="1" applyFill="1" applyBorder="1" applyAlignment="1">
      <alignment horizontal="right"/>
    </xf>
    <xf numFmtId="177" fontId="18" fillId="12" borderId="0" xfId="2" applyFont="1" applyFill="1" applyBorder="1" applyAlignment="1">
      <alignment vertical="center"/>
    </xf>
    <xf numFmtId="177" fontId="18" fillId="12" borderId="0" xfId="0" applyNumberFormat="1" applyFont="1" applyFill="1" applyAlignment="1">
      <alignment vertical="center"/>
    </xf>
    <xf numFmtId="184" fontId="17" fillId="10" borderId="4" xfId="0" applyNumberFormat="1" applyFont="1" applyFill="1" applyBorder="1" applyAlignment="1">
      <alignment horizontal="right"/>
    </xf>
    <xf numFmtId="0" fontId="22" fillId="14" borderId="29" xfId="0" applyFont="1" applyFill="1" applyBorder="1" applyAlignment="1">
      <alignment horizontal="left" vertical="center"/>
    </xf>
    <xf numFmtId="4" fontId="22" fillId="14" borderId="30" xfId="0" applyNumberFormat="1" applyFont="1" applyFill="1" applyBorder="1" applyAlignment="1">
      <alignment horizontal="center" vertical="center"/>
    </xf>
    <xf numFmtId="0" fontId="18" fillId="15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1" fillId="13" borderId="21" xfId="0" applyFont="1" applyFill="1" applyBorder="1" applyAlignment="1">
      <alignment horizontal="left" vertical="center"/>
    </xf>
    <xf numFmtId="0" fontId="21" fillId="13" borderId="22" xfId="0" applyFont="1" applyFill="1" applyBorder="1" applyAlignment="1">
      <alignment horizontal="left" vertical="center"/>
    </xf>
    <xf numFmtId="0" fontId="22" fillId="14" borderId="23" xfId="0" applyFont="1" applyFill="1" applyBorder="1" applyAlignment="1">
      <alignment vertical="center"/>
    </xf>
    <xf numFmtId="4" fontId="22" fillId="14" borderId="31" xfId="57" applyNumberFormat="1" applyFont="1" applyFill="1" applyBorder="1" applyAlignment="1">
      <alignment vertical="center"/>
    </xf>
    <xf numFmtId="4" fontId="22" fillId="14" borderId="26" xfId="57" applyNumberFormat="1" applyFont="1" applyFill="1" applyBorder="1" applyAlignment="1">
      <alignment vertical="center"/>
    </xf>
    <xf numFmtId="4" fontId="22" fillId="14" borderId="27" xfId="57" applyNumberFormat="1" applyFont="1" applyFill="1" applyBorder="1" applyAlignment="1">
      <alignment vertical="center"/>
    </xf>
    <xf numFmtId="0" fontId="21" fillId="5" borderId="0" xfId="0" applyFont="1" applyFill="1" applyAlignment="1">
      <alignment vertical="center"/>
    </xf>
    <xf numFmtId="0" fontId="21" fillId="13" borderId="29" xfId="0" applyFont="1" applyFill="1" applyBorder="1" applyAlignment="1">
      <alignment horizontal="center" vertical="center"/>
    </xf>
    <xf numFmtId="0" fontId="21" fillId="13" borderId="30" xfId="0" applyFont="1" applyFill="1" applyBorder="1" applyAlignment="1">
      <alignment horizontal="center" vertical="center"/>
    </xf>
    <xf numFmtId="0" fontId="21" fillId="13" borderId="32" xfId="0" applyFont="1" applyFill="1" applyBorder="1" applyAlignment="1">
      <alignment horizontal="center" vertical="center"/>
    </xf>
    <xf numFmtId="0" fontId="21" fillId="13" borderId="33" xfId="0" applyFont="1" applyFill="1" applyBorder="1" applyAlignment="1">
      <alignment horizontal="center" vertical="center"/>
    </xf>
    <xf numFmtId="187" fontId="14" fillId="0" borderId="4" xfId="0" applyNumberFormat="1" applyFont="1" applyFill="1" applyBorder="1" applyAlignment="1">
      <alignment horizontal="right"/>
    </xf>
    <xf numFmtId="177" fontId="18" fillId="0" borderId="6" xfId="57" applyNumberFormat="1" applyFont="1" applyFill="1" applyBorder="1" applyAlignment="1">
      <alignment vertical="center"/>
    </xf>
    <xf numFmtId="3" fontId="18" fillId="0" borderId="6" xfId="0" applyNumberFormat="1" applyFont="1" applyBorder="1" applyAlignment="1">
      <alignment horizontal="center" vertical="center"/>
    </xf>
    <xf numFmtId="177" fontId="18" fillId="0" borderId="14" xfId="57" applyNumberFormat="1" applyFont="1" applyFill="1" applyBorder="1" applyAlignment="1">
      <alignment horizontal="justify" vertical="center"/>
    </xf>
    <xf numFmtId="4" fontId="18" fillId="0" borderId="14" xfId="0" applyNumberFormat="1" applyFont="1" applyBorder="1" applyAlignment="1">
      <alignment horizontal="center" vertical="center"/>
    </xf>
    <xf numFmtId="187" fontId="15" fillId="0" borderId="4" xfId="0" applyNumberFormat="1" applyFont="1" applyFill="1" applyBorder="1" applyAlignment="1">
      <alignment horizontal="right"/>
    </xf>
    <xf numFmtId="177" fontId="18" fillId="0" borderId="34" xfId="57" applyNumberFormat="1" applyFont="1" applyFill="1" applyBorder="1" applyAlignment="1">
      <alignment horizontal="justify" vertical="center"/>
    </xf>
    <xf numFmtId="4" fontId="18" fillId="0" borderId="34" xfId="0" applyNumberFormat="1" applyFont="1" applyBorder="1" applyAlignment="1">
      <alignment horizontal="center" vertical="center"/>
    </xf>
    <xf numFmtId="177" fontId="18" fillId="0" borderId="35" xfId="57" applyNumberFormat="1" applyFont="1" applyFill="1" applyBorder="1" applyAlignment="1">
      <alignment horizontal="justify" vertical="center"/>
    </xf>
    <xf numFmtId="4" fontId="18" fillId="0" borderId="35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4" fontId="18" fillId="0" borderId="6" xfId="0" applyNumberFormat="1" applyFont="1" applyBorder="1" applyAlignment="1">
      <alignment horizontal="center" vertical="center"/>
    </xf>
    <xf numFmtId="0" fontId="18" fillId="5" borderId="14" xfId="0" applyFont="1" applyFill="1" applyBorder="1" applyAlignment="1">
      <alignment vertical="center"/>
    </xf>
    <xf numFmtId="0" fontId="21" fillId="14" borderId="6" xfId="0" applyFont="1" applyFill="1" applyBorder="1" applyAlignment="1">
      <alignment vertical="center"/>
    </xf>
    <xf numFmtId="4" fontId="21" fillId="14" borderId="6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187" fontId="18" fillId="5" borderId="6" xfId="0" applyNumberFormat="1" applyFont="1" applyFill="1" applyBorder="1" applyAlignment="1">
      <alignment vertical="center"/>
    </xf>
    <xf numFmtId="187" fontId="25" fillId="0" borderId="6" xfId="0" applyNumberFormat="1" applyFont="1" applyBorder="1"/>
    <xf numFmtId="0" fontId="18" fillId="5" borderId="0" xfId="0" applyFont="1" applyFill="1" applyAlignment="1">
      <alignment horizontal="center" vertical="center"/>
    </xf>
    <xf numFmtId="187" fontId="18" fillId="5" borderId="0" xfId="0" applyNumberFormat="1" applyFont="1" applyFill="1" applyAlignment="1">
      <alignment vertical="center"/>
    </xf>
    <xf numFmtId="0" fontId="18" fillId="0" borderId="21" xfId="0" applyFont="1" applyBorder="1" applyAlignment="1">
      <alignment horizontal="justify" vertical="center"/>
    </xf>
    <xf numFmtId="0" fontId="18" fillId="0" borderId="22" xfId="0" applyFont="1" applyBorder="1" applyAlignment="1">
      <alignment horizontal="justify" vertical="center"/>
    </xf>
    <xf numFmtId="0" fontId="18" fillId="0" borderId="23" xfId="0" applyFont="1" applyBorder="1" applyAlignment="1">
      <alignment horizontal="justify" vertical="center"/>
    </xf>
    <xf numFmtId="0" fontId="18" fillId="0" borderId="24" xfId="0" applyFont="1" applyBorder="1" applyAlignment="1">
      <alignment horizontal="justify" vertical="center"/>
    </xf>
    <xf numFmtId="0" fontId="13" fillId="16" borderId="4" xfId="0" applyFont="1" applyFill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26" fillId="0" borderId="4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10" fontId="27" fillId="0" borderId="4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10" fontId="15" fillId="0" borderId="4" xfId="0" applyNumberFormat="1" applyFont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0" fontId="16" fillId="9" borderId="4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4" xfId="0" applyFont="1" applyFill="1" applyBorder="1" applyAlignment="1">
      <alignment horizontal="center"/>
    </xf>
    <xf numFmtId="10" fontId="13" fillId="0" borderId="4" xfId="0" applyNumberFormat="1" applyFont="1" applyFill="1" applyBorder="1" applyAlignment="1">
      <alignment horizontal="center"/>
    </xf>
    <xf numFmtId="10" fontId="14" fillId="0" borderId="4" xfId="0" applyNumberFormat="1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0" fontId="14" fillId="0" borderId="4" xfId="0" applyNumberFormat="1" applyFont="1" applyFill="1" applyBorder="1"/>
    <xf numFmtId="188" fontId="14" fillId="0" borderId="4" xfId="0" applyNumberFormat="1" applyFont="1" applyFill="1" applyBorder="1"/>
    <xf numFmtId="9" fontId="14" fillId="0" borderId="4" xfId="0" applyNumberFormat="1" applyFont="1" applyFill="1" applyBorder="1"/>
    <xf numFmtId="10" fontId="13" fillId="9" borderId="4" xfId="0" applyNumberFormat="1" applyFont="1" applyFill="1" applyBorder="1"/>
    <xf numFmtId="0" fontId="28" fillId="0" borderId="15" xfId="0" applyFont="1" applyBorder="1" applyAlignment="1">
      <alignment horizontal="center"/>
    </xf>
    <xf numFmtId="0" fontId="28" fillId="0" borderId="0" xfId="0" applyFont="1" applyAlignment="1">
      <alignment horizontal="left"/>
    </xf>
    <xf numFmtId="10" fontId="28" fillId="0" borderId="0" xfId="0" applyNumberFormat="1" applyFont="1"/>
    <xf numFmtId="0" fontId="29" fillId="0" borderId="15" xfId="0" applyFont="1" applyBorder="1"/>
    <xf numFmtId="0" fontId="29" fillId="0" borderId="0" xfId="0" applyFont="1"/>
    <xf numFmtId="0" fontId="28" fillId="0" borderId="15" xfId="0" applyFont="1" applyBorder="1"/>
    <xf numFmtId="0" fontId="28" fillId="0" borderId="0" xfId="0" applyFont="1"/>
    <xf numFmtId="0" fontId="18" fillId="0" borderId="26" xfId="0" applyFont="1" applyBorder="1" applyAlignment="1">
      <alignment horizontal="justify" vertical="center"/>
    </xf>
    <xf numFmtId="0" fontId="18" fillId="0" borderId="27" xfId="0" applyFont="1" applyBorder="1" applyAlignment="1">
      <alignment horizontal="justify" vertical="center"/>
    </xf>
    <xf numFmtId="4" fontId="18" fillId="5" borderId="0" xfId="0" applyNumberFormat="1" applyFont="1" applyFill="1" applyAlignment="1">
      <alignment vertical="center"/>
    </xf>
    <xf numFmtId="187" fontId="14" fillId="0" borderId="4" xfId="0" applyNumberFormat="1" applyFont="1" applyFill="1" applyBorder="1"/>
    <xf numFmtId="189" fontId="18" fillId="5" borderId="0" xfId="3" applyNumberFormat="1" applyFont="1" applyFill="1" applyBorder="1" applyAlignment="1">
      <alignment vertical="center"/>
    </xf>
    <xf numFmtId="190" fontId="18" fillId="5" borderId="0" xfId="0" applyNumberFormat="1" applyFont="1" applyFill="1" applyAlignment="1">
      <alignment vertical="center"/>
    </xf>
    <xf numFmtId="187" fontId="15" fillId="0" borderId="4" xfId="0" applyNumberFormat="1" applyFont="1" applyBorder="1"/>
    <xf numFmtId="191" fontId="18" fillId="5" borderId="0" xfId="0" applyNumberFormat="1" applyFont="1" applyFill="1" applyAlignment="1">
      <alignment vertical="center"/>
    </xf>
    <xf numFmtId="184" fontId="16" fillId="9" borderId="4" xfId="0" applyNumberFormat="1" applyFont="1" applyFill="1" applyBorder="1"/>
    <xf numFmtId="10" fontId="30" fillId="0" borderId="0" xfId="3" applyNumberFormat="1" applyFont="1" applyFill="1" applyAlignment="1"/>
    <xf numFmtId="187" fontId="14" fillId="0" borderId="4" xfId="0" applyNumberFormat="1" applyFont="1" applyFill="1" applyBorder="1"/>
    <xf numFmtId="187" fontId="14" fillId="0" borderId="4" xfId="0" applyNumberFormat="1" applyFont="1" applyBorder="1" applyAlignment="1">
      <alignment horizontal="center"/>
    </xf>
    <xf numFmtId="2" fontId="28" fillId="0" borderId="20" xfId="0" applyNumberFormat="1" applyFont="1" applyBorder="1"/>
    <xf numFmtId="0" fontId="29" fillId="0" borderId="20" xfId="0" applyFont="1" applyBorder="1"/>
    <xf numFmtId="0" fontId="28" fillId="0" borderId="20" xfId="0" applyFont="1" applyBorder="1"/>
    <xf numFmtId="0" fontId="13" fillId="17" borderId="36" xfId="0" applyFont="1" applyFill="1" applyBorder="1" applyAlignment="1">
      <alignment horizontal="center" wrapText="1"/>
    </xf>
    <xf numFmtId="0" fontId="13" fillId="17" borderId="37" xfId="0" applyFont="1" applyFill="1" applyBorder="1" applyAlignment="1">
      <alignment horizontal="center" wrapText="1"/>
    </xf>
    <xf numFmtId="0" fontId="13" fillId="17" borderId="38" xfId="0" applyFont="1" applyFill="1" applyBorder="1" applyAlignment="1">
      <alignment horizontal="center" wrapText="1"/>
    </xf>
    <xf numFmtId="0" fontId="13" fillId="17" borderId="6" xfId="0" applyFont="1" applyFill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1" fillId="0" borderId="38" xfId="0" applyFont="1" applyBorder="1" applyAlignment="1">
      <alignment horizontal="center"/>
    </xf>
    <xf numFmtId="177" fontId="31" fillId="0" borderId="6" xfId="0" applyNumberFormat="1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4" fontId="18" fillId="12" borderId="0" xfId="0" applyNumberFormat="1" applyFont="1" applyFill="1" applyAlignment="1">
      <alignment vertical="center"/>
    </xf>
    <xf numFmtId="176" fontId="18" fillId="14" borderId="0" xfId="1" applyFont="1" applyFill="1" applyBorder="1" applyAlignment="1">
      <alignment vertical="center"/>
    </xf>
    <xf numFmtId="177" fontId="13" fillId="17" borderId="6" xfId="0" applyNumberFormat="1" applyFont="1" applyFill="1" applyBorder="1" applyAlignment="1">
      <alignment horizontal="center"/>
    </xf>
    <xf numFmtId="177" fontId="31" fillId="0" borderId="6" xfId="0" applyNumberFormat="1" applyFont="1" applyBorder="1"/>
    <xf numFmtId="0" fontId="4" fillId="0" borderId="0" xfId="0" applyFont="1"/>
    <xf numFmtId="184" fontId="14" fillId="0" borderId="4" xfId="0" applyNumberFormat="1" applyFont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0" fontId="27" fillId="8" borderId="1" xfId="0" applyFont="1" applyFill="1" applyBorder="1"/>
    <xf numFmtId="0" fontId="2" fillId="8" borderId="2" xfId="0" applyFont="1" applyFill="1" applyBorder="1"/>
    <xf numFmtId="0" fontId="2" fillId="8" borderId="3" xfId="0" applyFont="1" applyFill="1" applyBorder="1"/>
    <xf numFmtId="0" fontId="27" fillId="8" borderId="4" xfId="0" applyFont="1" applyFill="1" applyBorder="1" applyAlignment="1">
      <alignment horizontal="center"/>
    </xf>
    <xf numFmtId="0" fontId="27" fillId="0" borderId="1" xfId="0" applyFont="1" applyFill="1" applyBorder="1"/>
    <xf numFmtId="0" fontId="27" fillId="0" borderId="4" xfId="0" applyFont="1" applyFill="1" applyBorder="1" applyAlignment="1">
      <alignment horizontal="center"/>
    </xf>
    <xf numFmtId="187" fontId="27" fillId="8" borderId="4" xfId="0" applyNumberFormat="1" applyFont="1" applyFill="1" applyBorder="1" applyAlignment="1">
      <alignment horizontal="right"/>
    </xf>
    <xf numFmtId="187" fontId="27" fillId="0" borderId="4" xfId="0" applyNumberFormat="1" applyFont="1" applyFill="1" applyBorder="1" applyAlignment="1">
      <alignment horizontal="right"/>
    </xf>
    <xf numFmtId="0" fontId="13" fillId="8" borderId="4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left"/>
    </xf>
    <xf numFmtId="10" fontId="14" fillId="18" borderId="4" xfId="0" applyNumberFormat="1" applyFont="1" applyFill="1" applyBorder="1" applyAlignment="1">
      <alignment horizontal="center"/>
    </xf>
    <xf numFmtId="0" fontId="13" fillId="11" borderId="4" xfId="0" applyFont="1" applyFill="1" applyBorder="1" applyAlignment="1">
      <alignment horizontal="center"/>
    </xf>
    <xf numFmtId="0" fontId="14" fillId="11" borderId="4" xfId="0" applyFont="1" applyFill="1" applyBorder="1" applyAlignment="1">
      <alignment horizontal="center"/>
    </xf>
    <xf numFmtId="10" fontId="13" fillId="11" borderId="4" xfId="0" applyNumberFormat="1" applyFont="1" applyFill="1" applyBorder="1" applyAlignment="1">
      <alignment horizontal="center"/>
    </xf>
    <xf numFmtId="10" fontId="14" fillId="0" borderId="4" xfId="0" applyNumberFormat="1" applyFont="1" applyFill="1" applyBorder="1" applyAlignment="1" applyProtection="1"/>
    <xf numFmtId="9" fontId="14" fillId="0" borderId="4" xfId="0" applyNumberFormat="1" applyFont="1" applyBorder="1"/>
    <xf numFmtId="187" fontId="14" fillId="8" borderId="4" xfId="0" applyNumberFormat="1" applyFont="1" applyFill="1" applyBorder="1"/>
    <xf numFmtId="184" fontId="13" fillId="19" borderId="4" xfId="0" applyNumberFormat="1" applyFont="1" applyFill="1" applyBorder="1"/>
    <xf numFmtId="0" fontId="27" fillId="0" borderId="0" xfId="54" applyAlignment="1">
      <alignment vertical="center"/>
    </xf>
    <xf numFmtId="0" fontId="32" fillId="0" borderId="0" xfId="51"/>
    <xf numFmtId="0" fontId="26" fillId="0" borderId="0" xfId="54" applyFont="1" applyAlignment="1">
      <alignment horizontal="center" vertical="center"/>
    </xf>
    <xf numFmtId="0" fontId="26" fillId="0" borderId="0" xfId="54" applyFont="1" applyAlignment="1">
      <alignment vertical="center"/>
    </xf>
    <xf numFmtId="0" fontId="26" fillId="20" borderId="0" xfId="54" applyFont="1" applyFill="1" applyAlignment="1">
      <alignment horizontal="left" vertical="center"/>
    </xf>
    <xf numFmtId="0" fontId="26" fillId="20" borderId="0" xfId="54" applyFont="1" applyFill="1" applyAlignment="1">
      <alignment vertical="center"/>
    </xf>
    <xf numFmtId="0" fontId="27" fillId="0" borderId="0" xfId="54"/>
    <xf numFmtId="0" fontId="26" fillId="0" borderId="0" xfId="54" applyFont="1"/>
    <xf numFmtId="0" fontId="26" fillId="21" borderId="6" xfId="54" applyFont="1" applyFill="1" applyBorder="1" applyAlignment="1">
      <alignment horizontal="center" vertical="center" wrapText="1"/>
    </xf>
    <xf numFmtId="0" fontId="26" fillId="21" borderId="36" xfId="54" applyFont="1" applyFill="1" applyBorder="1" applyAlignment="1">
      <alignment horizontal="center" vertical="center" wrapText="1"/>
    </xf>
    <xf numFmtId="0" fontId="26" fillId="21" borderId="38" xfId="54" applyFont="1" applyFill="1" applyBorder="1" applyAlignment="1">
      <alignment horizontal="center" vertical="center" wrapText="1"/>
    </xf>
    <xf numFmtId="0" fontId="27" fillId="0" borderId="14" xfId="54" applyBorder="1" applyAlignment="1">
      <alignment horizontal="left" vertical="center" wrapText="1"/>
    </xf>
    <xf numFmtId="0" fontId="27" fillId="0" borderId="36" xfId="54" applyBorder="1" applyAlignment="1">
      <alignment horizontal="center" vertical="center" wrapText="1"/>
    </xf>
    <xf numFmtId="0" fontId="27" fillId="0" borderId="38" xfId="54" applyBorder="1" applyAlignment="1">
      <alignment horizontal="center" vertical="center" wrapText="1"/>
    </xf>
    <xf numFmtId="192" fontId="27" fillId="0" borderId="14" xfId="54" applyNumberFormat="1" applyBorder="1" applyAlignment="1">
      <alignment horizontal="center" vertical="center" wrapText="1"/>
    </xf>
    <xf numFmtId="0" fontId="27" fillId="0" borderId="35" xfId="54" applyBorder="1" applyAlignment="1">
      <alignment horizontal="left" vertical="center" wrapText="1"/>
    </xf>
    <xf numFmtId="192" fontId="27" fillId="0" borderId="35" xfId="54" applyNumberFormat="1" applyBorder="1" applyAlignment="1">
      <alignment horizontal="center" vertical="center" wrapText="1"/>
    </xf>
    <xf numFmtId="0" fontId="27" fillId="0" borderId="6" xfId="54" applyBorder="1"/>
    <xf numFmtId="0" fontId="27" fillId="0" borderId="6" xfId="54" applyBorder="1" applyAlignment="1">
      <alignment horizontal="center"/>
    </xf>
    <xf numFmtId="180" fontId="27" fillId="0" borderId="6" xfId="49" applyFont="1" applyBorder="1" applyProtection="1"/>
    <xf numFmtId="192" fontId="27" fillId="0" borderId="6" xfId="49" applyNumberFormat="1" applyFont="1" applyBorder="1" applyProtection="1"/>
    <xf numFmtId="193" fontId="27" fillId="0" borderId="0" xfId="54" applyNumberFormat="1"/>
    <xf numFmtId="192" fontId="27" fillId="18" borderId="14" xfId="54" applyNumberFormat="1" applyFill="1" applyBorder="1" applyAlignment="1">
      <alignment horizontal="center" vertical="center" wrapText="1"/>
    </xf>
    <xf numFmtId="192" fontId="27" fillId="18" borderId="35" xfId="54" applyNumberFormat="1" applyFill="1" applyBorder="1" applyAlignment="1">
      <alignment horizontal="center" vertical="center" wrapText="1"/>
    </xf>
    <xf numFmtId="176" fontId="27" fillId="0" borderId="0" xfId="54" applyNumberFormat="1"/>
    <xf numFmtId="0" fontId="26" fillId="0" borderId="0" xfId="54" applyFont="1" applyAlignment="1">
      <alignment horizontal="right"/>
    </xf>
    <xf numFmtId="194" fontId="26" fillId="0" borderId="0" xfId="54" applyNumberFormat="1" applyFont="1"/>
    <xf numFmtId="0" fontId="26" fillId="20" borderId="0" xfId="54" applyFont="1" applyFill="1" applyAlignment="1">
      <alignment horizontal="left"/>
    </xf>
    <xf numFmtId="0" fontId="26" fillId="20" borderId="0" xfId="54" applyFont="1" applyFill="1"/>
    <xf numFmtId="181" fontId="27" fillId="0" borderId="14" xfId="56" applyFont="1" applyBorder="1" applyAlignment="1" applyProtection="1">
      <alignment horizontal="center" vertical="center" wrapText="1"/>
    </xf>
    <xf numFmtId="0" fontId="26" fillId="0" borderId="38" xfId="54" applyFont="1" applyBorder="1" applyAlignment="1">
      <alignment horizontal="center" vertical="center" wrapText="1"/>
    </xf>
    <xf numFmtId="192" fontId="27" fillId="0" borderId="6" xfId="54" applyNumberFormat="1" applyBorder="1" applyAlignment="1">
      <alignment horizontal="justify" vertical="center" wrapText="1"/>
    </xf>
    <xf numFmtId="181" fontId="27" fillId="0" borderId="6" xfId="56" applyFont="1" applyBorder="1" applyAlignment="1" applyProtection="1">
      <alignment vertical="center"/>
    </xf>
    <xf numFmtId="180" fontId="27" fillId="0" borderId="6" xfId="50" applyFont="1" applyBorder="1" applyAlignment="1" applyProtection="1">
      <alignment vertical="center"/>
    </xf>
    <xf numFmtId="181" fontId="27" fillId="0" borderId="35" xfId="56" applyFont="1" applyBorder="1" applyAlignment="1" applyProtection="1">
      <alignment horizontal="center" vertical="center" wrapText="1"/>
    </xf>
    <xf numFmtId="0" fontId="27" fillId="0" borderId="36" xfId="54" applyBorder="1" applyAlignment="1">
      <alignment horizontal="center" vertical="center"/>
    </xf>
    <xf numFmtId="0" fontId="27" fillId="0" borderId="38" xfId="54" applyBorder="1" applyAlignment="1">
      <alignment horizontal="center" vertical="center"/>
    </xf>
    <xf numFmtId="194" fontId="27" fillId="0" borderId="6" xfId="54" applyNumberFormat="1" applyBorder="1" applyAlignment="1">
      <alignment vertical="center"/>
    </xf>
    <xf numFmtId="181" fontId="27" fillId="22" borderId="6" xfId="56" applyFont="1" applyFill="1" applyBorder="1" applyAlignment="1" applyProtection="1">
      <alignment vertical="center"/>
    </xf>
    <xf numFmtId="0" fontId="27" fillId="22" borderId="36" xfId="54" applyFill="1" applyBorder="1" applyAlignment="1">
      <alignment horizontal="center" vertical="center"/>
    </xf>
    <xf numFmtId="0" fontId="27" fillId="22" borderId="38" xfId="54" applyFill="1" applyBorder="1" applyAlignment="1">
      <alignment horizontal="center" vertical="center"/>
    </xf>
    <xf numFmtId="194" fontId="27" fillId="22" borderId="6" xfId="54" applyNumberFormat="1" applyFill="1" applyBorder="1" applyAlignment="1">
      <alignment vertical="center"/>
    </xf>
    <xf numFmtId="180" fontId="27" fillId="22" borderId="6" xfId="50" applyFont="1" applyFill="1" applyBorder="1" applyAlignment="1" applyProtection="1">
      <alignment vertical="center"/>
    </xf>
    <xf numFmtId="0" fontId="27" fillId="22" borderId="36" xfId="54" applyFill="1" applyBorder="1" applyAlignment="1">
      <alignment horizontal="center" vertical="center" wrapText="1"/>
    </xf>
    <xf numFmtId="0" fontId="27" fillId="22" borderId="38" xfId="54" applyFill="1" applyBorder="1" applyAlignment="1">
      <alignment horizontal="center" vertical="center" wrapText="1"/>
    </xf>
    <xf numFmtId="4" fontId="14" fillId="0" borderId="14" xfId="53" applyNumberFormat="1" applyFont="1" applyBorder="1" applyAlignment="1">
      <alignment horizontal="center" wrapText="1"/>
    </xf>
    <xf numFmtId="4" fontId="14" fillId="0" borderId="6" xfId="53" applyNumberFormat="1" applyFont="1" applyBorder="1"/>
    <xf numFmtId="4" fontId="14" fillId="0" borderId="35" xfId="53" applyNumberFormat="1" applyFont="1" applyBorder="1" applyAlignment="1">
      <alignment horizontal="center" wrapText="1"/>
    </xf>
    <xf numFmtId="4" fontId="14" fillId="22" borderId="6" xfId="53" applyNumberFormat="1" applyFont="1" applyFill="1" applyBorder="1"/>
    <xf numFmtId="2" fontId="14" fillId="0" borderId="14" xfId="53" applyNumberFormat="1" applyFont="1" applyBorder="1" applyAlignment="1">
      <alignment horizontal="center" wrapText="1"/>
    </xf>
    <xf numFmtId="2" fontId="14" fillId="0" borderId="6" xfId="53" applyNumberFormat="1" applyFont="1" applyBorder="1"/>
    <xf numFmtId="2" fontId="14" fillId="0" borderId="35" xfId="53" applyNumberFormat="1" applyFont="1" applyBorder="1" applyAlignment="1">
      <alignment horizontal="center" wrapText="1"/>
    </xf>
    <xf numFmtId="2" fontId="14" fillId="22" borderId="6" xfId="53" applyNumberFormat="1" applyFont="1" applyFill="1" applyBorder="1"/>
    <xf numFmtId="0" fontId="27" fillId="18" borderId="36" xfId="54" applyFill="1" applyBorder="1" applyAlignment="1">
      <alignment horizontal="center" vertical="center" wrapText="1"/>
    </xf>
    <xf numFmtId="0" fontId="27" fillId="18" borderId="38" xfId="54" applyFill="1" applyBorder="1" applyAlignment="1">
      <alignment horizontal="center" vertical="center" wrapText="1"/>
    </xf>
    <xf numFmtId="194" fontId="27" fillId="18" borderId="6" xfId="54" applyNumberFormat="1" applyFill="1" applyBorder="1" applyAlignment="1">
      <alignment vertical="center"/>
    </xf>
    <xf numFmtId="4" fontId="14" fillId="18" borderId="6" xfId="53" applyNumberFormat="1" applyFont="1" applyFill="1" applyBorder="1"/>
    <xf numFmtId="180" fontId="27" fillId="18" borderId="6" xfId="50" applyFont="1" applyFill="1" applyBorder="1" applyAlignment="1" applyProtection="1">
      <alignment vertical="center"/>
    </xf>
    <xf numFmtId="0" fontId="27" fillId="18" borderId="36" xfId="54" applyFill="1" applyBorder="1" applyAlignment="1">
      <alignment horizontal="center" vertical="center"/>
    </xf>
    <xf numFmtId="0" fontId="27" fillId="18" borderId="38" xfId="54" applyFill="1" applyBorder="1" applyAlignment="1">
      <alignment horizontal="center" vertical="center"/>
    </xf>
    <xf numFmtId="0" fontId="13" fillId="22" borderId="36" xfId="54" applyFont="1" applyFill="1" applyBorder="1" applyAlignment="1">
      <alignment horizontal="right" vertical="center"/>
    </xf>
    <xf numFmtId="0" fontId="13" fillId="22" borderId="37" xfId="54" applyFont="1" applyFill="1" applyBorder="1" applyAlignment="1">
      <alignment horizontal="right" vertical="center"/>
    </xf>
    <xf numFmtId="0" fontId="13" fillId="22" borderId="38" xfId="54" applyFont="1" applyFill="1" applyBorder="1" applyAlignment="1">
      <alignment horizontal="right" vertical="center"/>
    </xf>
    <xf numFmtId="180" fontId="26" fillId="22" borderId="6" xfId="50" applyFont="1" applyFill="1" applyBorder="1" applyAlignment="1" applyProtection="1">
      <alignment vertical="center"/>
    </xf>
    <xf numFmtId="0" fontId="27" fillId="0" borderId="0" xfId="54" applyAlignment="1">
      <alignment horizontal="right" vertical="center"/>
    </xf>
    <xf numFmtId="0" fontId="13" fillId="0" borderId="6" xfId="54" applyFont="1" applyBorder="1" applyAlignment="1">
      <alignment horizontal="right" vertical="center"/>
    </xf>
    <xf numFmtId="180" fontId="26" fillId="0" borderId="6" xfId="50" applyFont="1" applyBorder="1" applyAlignment="1" applyProtection="1">
      <alignment vertical="center"/>
    </xf>
    <xf numFmtId="180" fontId="4" fillId="0" borderId="0" xfId="52" applyNumberFormat="1"/>
    <xf numFmtId="176" fontId="4" fillId="0" borderId="0" xfId="52" applyNumberFormat="1"/>
    <xf numFmtId="49" fontId="33" fillId="23" borderId="4" xfId="0" applyNumberFormat="1" applyFont="1" applyFill="1" applyBorder="1" applyAlignment="1">
      <alignment horizontal="center" vertical="center" wrapText="1"/>
    </xf>
    <xf numFmtId="0" fontId="33" fillId="24" borderId="4" xfId="0" applyFont="1" applyFill="1" applyBorder="1" applyAlignment="1">
      <alignment horizontal="center" vertical="center" wrapText="1"/>
    </xf>
    <xf numFmtId="2" fontId="33" fillId="24" borderId="4" xfId="0" applyNumberFormat="1" applyFont="1" applyFill="1" applyBorder="1" applyAlignment="1">
      <alignment horizontal="center" vertical="center" wrapText="1"/>
    </xf>
    <xf numFmtId="195" fontId="33" fillId="24" borderId="4" xfId="0" applyNumberFormat="1" applyFont="1" applyFill="1" applyBorder="1" applyAlignment="1">
      <alignment horizontal="center" vertical="center" wrapText="1"/>
    </xf>
    <xf numFmtId="49" fontId="33" fillId="24" borderId="4" xfId="0" applyNumberFormat="1" applyFont="1" applyFill="1" applyBorder="1" applyAlignment="1">
      <alignment horizontal="center" vertical="center" wrapText="1"/>
    </xf>
    <xf numFmtId="2" fontId="5" fillId="24" borderId="4" xfId="0" applyNumberFormat="1" applyFont="1" applyFill="1" applyBorder="1" applyAlignment="1">
      <alignment horizontal="center" vertical="center" wrapText="1"/>
    </xf>
    <xf numFmtId="195" fontId="34" fillId="24" borderId="4" xfId="0" applyNumberFormat="1" applyFont="1" applyFill="1" applyBorder="1" applyAlignment="1">
      <alignment horizontal="center" vertical="center" wrapText="1"/>
    </xf>
    <xf numFmtId="49" fontId="35" fillId="25" borderId="4" xfId="0" applyNumberFormat="1" applyFont="1" applyFill="1" applyBorder="1" applyAlignment="1">
      <alignment horizontal="center" vertical="center" wrapText="1"/>
    </xf>
    <xf numFmtId="0" fontId="35" fillId="25" borderId="4" xfId="0" applyFont="1" applyFill="1" applyBorder="1" applyAlignment="1">
      <alignment horizontal="left" vertical="center" wrapText="1"/>
    </xf>
    <xf numFmtId="2" fontId="36" fillId="25" borderId="4" xfId="0" applyNumberFormat="1" applyFont="1" applyFill="1" applyBorder="1" applyAlignment="1">
      <alignment horizontal="center" vertical="center" wrapText="1"/>
    </xf>
    <xf numFmtId="195" fontId="35" fillId="25" borderId="4" xfId="0" applyNumberFormat="1" applyFont="1" applyFill="1" applyBorder="1" applyAlignment="1">
      <alignment horizontal="center" vertical="center" wrapText="1"/>
    </xf>
    <xf numFmtId="195" fontId="27" fillId="0" borderId="0" xfId="54" applyNumberFormat="1" applyAlignment="1">
      <alignment vertical="center"/>
    </xf>
    <xf numFmtId="49" fontId="37" fillId="26" borderId="1" xfId="0" applyNumberFormat="1" applyFont="1" applyFill="1" applyBorder="1" applyAlignment="1">
      <alignment horizontal="center" vertical="center" wrapText="1"/>
    </xf>
    <xf numFmtId="0" fontId="38" fillId="27" borderId="3" xfId="0" applyFont="1" applyFill="1" applyBorder="1"/>
    <xf numFmtId="2" fontId="37" fillId="26" borderId="4" xfId="0" applyNumberFormat="1" applyFont="1" applyFill="1" applyBorder="1" applyAlignment="1">
      <alignment horizontal="center" vertical="center" wrapText="1"/>
    </xf>
    <xf numFmtId="195" fontId="39" fillId="26" borderId="4" xfId="0" applyNumberFormat="1" applyFont="1" applyFill="1" applyBorder="1" applyAlignment="1">
      <alignment horizontal="center" vertical="center" wrapText="1"/>
    </xf>
    <xf numFmtId="49" fontId="5" fillId="11" borderId="4" xfId="0" applyNumberFormat="1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left" vertical="center" wrapText="1"/>
    </xf>
    <xf numFmtId="2" fontId="37" fillId="28" borderId="4" xfId="0" applyNumberFormat="1" applyFont="1" applyFill="1" applyBorder="1" applyAlignment="1">
      <alignment horizontal="center" vertical="center" wrapText="1"/>
    </xf>
    <xf numFmtId="2" fontId="5" fillId="11" borderId="4" xfId="0" applyNumberFormat="1" applyFont="1" applyFill="1" applyBorder="1" applyAlignment="1">
      <alignment horizontal="center" vertical="center" wrapText="1"/>
    </xf>
    <xf numFmtId="195" fontId="5" fillId="11" borderId="4" xfId="0" applyNumberFormat="1" applyFont="1" applyFill="1" applyBorder="1" applyAlignment="1">
      <alignment horizontal="center" vertical="center" wrapText="1"/>
    </xf>
    <xf numFmtId="49" fontId="5" fillId="29" borderId="4" xfId="0" applyNumberFormat="1" applyFont="1" applyFill="1" applyBorder="1" applyAlignment="1">
      <alignment horizontal="left" vertical="center" wrapText="1"/>
    </xf>
    <xf numFmtId="0" fontId="5" fillId="29" borderId="4" xfId="0" applyFont="1" applyFill="1" applyBorder="1" applyAlignment="1">
      <alignment horizontal="left" vertical="center" wrapText="1"/>
    </xf>
    <xf numFmtId="2" fontId="37" fillId="30" borderId="4" xfId="0" applyNumberFormat="1" applyFont="1" applyFill="1" applyBorder="1" applyAlignment="1">
      <alignment horizontal="center" vertical="center" wrapText="1"/>
    </xf>
    <xf numFmtId="2" fontId="5" fillId="29" borderId="4" xfId="0" applyNumberFormat="1" applyFont="1" applyFill="1" applyBorder="1" applyAlignment="1">
      <alignment horizontal="center" vertical="center" wrapText="1"/>
    </xf>
    <xf numFmtId="195" fontId="5" fillId="29" borderId="4" xfId="0" applyNumberFormat="1" applyFont="1" applyFill="1" applyBorder="1" applyAlignment="1">
      <alignment horizontal="center" vertical="center" wrapText="1"/>
    </xf>
    <xf numFmtId="195" fontId="34" fillId="26" borderId="4" xfId="0" applyNumberFormat="1" applyFont="1" applyFill="1" applyBorder="1" applyAlignment="1">
      <alignment horizontal="center" vertical="center" wrapText="1"/>
    </xf>
    <xf numFmtId="192" fontId="27" fillId="0" borderId="0" xfId="54" applyNumberFormat="1" applyAlignment="1">
      <alignment vertical="center"/>
    </xf>
    <xf numFmtId="176" fontId="27" fillId="0" borderId="0" xfId="54" applyNumberFormat="1" applyAlignment="1">
      <alignment vertical="center"/>
    </xf>
    <xf numFmtId="180" fontId="27" fillId="0" borderId="0" xfId="54" applyNumberFormat="1" applyAlignment="1">
      <alignment vertical="center"/>
    </xf>
    <xf numFmtId="2" fontId="39" fillId="11" borderId="4" xfId="0" applyNumberFormat="1" applyFont="1" applyFill="1" applyBorder="1" applyAlignment="1">
      <alignment horizontal="center" vertical="center" wrapText="1"/>
    </xf>
    <xf numFmtId="195" fontId="39" fillId="11" borderId="4" xfId="0" applyNumberFormat="1" applyFont="1" applyFill="1" applyBorder="1" applyAlignment="1">
      <alignment horizontal="center" vertical="center" wrapText="1"/>
    </xf>
    <xf numFmtId="49" fontId="39" fillId="29" borderId="4" xfId="0" applyNumberFormat="1" applyFont="1" applyFill="1" applyBorder="1" applyAlignment="1">
      <alignment horizontal="left" vertical="center" wrapText="1"/>
    </xf>
    <xf numFmtId="0" fontId="39" fillId="29" borderId="4" xfId="0" applyFont="1" applyFill="1" applyBorder="1" applyAlignment="1">
      <alignment horizontal="left" vertical="center" wrapText="1"/>
    </xf>
    <xf numFmtId="2" fontId="39" fillId="29" borderId="4" xfId="0" applyNumberFormat="1" applyFont="1" applyFill="1" applyBorder="1" applyAlignment="1">
      <alignment horizontal="center" vertical="center" wrapText="1"/>
    </xf>
    <xf numFmtId="195" fontId="39" fillId="29" borderId="4" xfId="0" applyNumberFormat="1" applyFont="1" applyFill="1" applyBorder="1" applyAlignment="1">
      <alignment horizontal="center" vertical="center" wrapText="1"/>
    </xf>
    <xf numFmtId="49" fontId="5" fillId="29" borderId="4" xfId="0" applyNumberFormat="1" applyFont="1" applyFill="1" applyBorder="1" applyAlignment="1">
      <alignment horizontal="center" vertical="center" wrapText="1"/>
    </xf>
    <xf numFmtId="49" fontId="39" fillId="26" borderId="4" xfId="0" applyNumberFormat="1" applyFont="1" applyFill="1" applyBorder="1" applyAlignment="1">
      <alignment horizontal="left" vertical="center" wrapText="1"/>
    </xf>
    <xf numFmtId="0" fontId="37" fillId="26" borderId="4" xfId="0" applyFont="1" applyFill="1" applyBorder="1" applyAlignment="1">
      <alignment horizontal="left" vertical="center" wrapText="1"/>
    </xf>
    <xf numFmtId="49" fontId="5" fillId="11" borderId="10" xfId="0" applyNumberFormat="1" applyFont="1" applyFill="1" applyBorder="1" applyAlignment="1">
      <alignment horizontal="center" wrapText="1"/>
    </xf>
    <xf numFmtId="0" fontId="5" fillId="11" borderId="9" xfId="0" applyFont="1" applyFill="1" applyBorder="1" applyAlignment="1">
      <alignment wrapText="1"/>
    </xf>
    <xf numFmtId="2" fontId="37" fillId="28" borderId="9" xfId="0" applyNumberFormat="1" applyFont="1" applyFill="1" applyBorder="1" applyAlignment="1">
      <alignment horizontal="center" wrapText="1"/>
    </xf>
    <xf numFmtId="2" fontId="5" fillId="11" borderId="9" xfId="0" applyNumberFormat="1" applyFont="1" applyFill="1" applyBorder="1" applyAlignment="1">
      <alignment horizontal="center" wrapText="1"/>
    </xf>
    <xf numFmtId="195" fontId="5" fillId="11" borderId="9" xfId="0" applyNumberFormat="1" applyFont="1" applyFill="1" applyBorder="1" applyAlignment="1">
      <alignment horizontal="center" wrapText="1"/>
    </xf>
    <xf numFmtId="49" fontId="39" fillId="11" borderId="10" xfId="0" applyNumberFormat="1" applyFont="1" applyFill="1" applyBorder="1" applyAlignment="1">
      <alignment horizontal="center" wrapText="1"/>
    </xf>
    <xf numFmtId="0" fontId="39" fillId="11" borderId="9" xfId="0" applyFont="1" applyFill="1" applyBorder="1" applyAlignment="1">
      <alignment wrapText="1"/>
    </xf>
    <xf numFmtId="2" fontId="40" fillId="28" borderId="9" xfId="0" applyNumberFormat="1" applyFont="1" applyFill="1" applyBorder="1" applyAlignment="1">
      <alignment horizontal="center" wrapText="1"/>
    </xf>
    <xf numFmtId="2" fontId="39" fillId="11" borderId="9" xfId="0" applyNumberFormat="1" applyFont="1" applyFill="1" applyBorder="1" applyAlignment="1">
      <alignment horizontal="center" wrapText="1"/>
    </xf>
    <xf numFmtId="195" fontId="39" fillId="11" borderId="9" xfId="0" applyNumberFormat="1" applyFont="1" applyFill="1" applyBorder="1" applyAlignment="1">
      <alignment horizontal="center" wrapText="1"/>
    </xf>
    <xf numFmtId="0" fontId="39" fillId="29" borderId="9" xfId="0" applyFont="1" applyFill="1" applyBorder="1" applyAlignment="1">
      <alignment wrapText="1"/>
    </xf>
    <xf numFmtId="2" fontId="40" fillId="30" borderId="9" xfId="0" applyNumberFormat="1" applyFont="1" applyFill="1" applyBorder="1" applyAlignment="1">
      <alignment horizontal="center" wrapText="1"/>
    </xf>
    <xf numFmtId="2" fontId="39" fillId="29" borderId="9" xfId="0" applyNumberFormat="1" applyFont="1" applyFill="1" applyBorder="1" applyAlignment="1">
      <alignment horizontal="center" wrapText="1"/>
    </xf>
    <xf numFmtId="195" fontId="39" fillId="29" borderId="9" xfId="0" applyNumberFormat="1" applyFont="1" applyFill="1" applyBorder="1" applyAlignment="1">
      <alignment horizontal="center" wrapText="1"/>
    </xf>
    <xf numFmtId="0" fontId="5" fillId="29" borderId="3" xfId="0" applyFont="1" applyFill="1" applyBorder="1" applyAlignment="1">
      <alignment horizontal="left" vertical="center" wrapText="1"/>
    </xf>
    <xf numFmtId="2" fontId="37" fillId="30" borderId="3" xfId="0" applyNumberFormat="1" applyFont="1" applyFill="1" applyBorder="1" applyAlignment="1">
      <alignment horizontal="center" vertical="center" wrapText="1"/>
    </xf>
    <xf numFmtId="2" fontId="5" fillId="29" borderId="3" xfId="0" applyNumberFormat="1" applyFont="1" applyFill="1" applyBorder="1" applyAlignment="1">
      <alignment horizontal="center" vertical="center" wrapText="1"/>
    </xf>
    <xf numFmtId="195" fontId="5" fillId="29" borderId="3" xfId="0" applyNumberFormat="1" applyFont="1" applyFill="1" applyBorder="1" applyAlignment="1">
      <alignment horizontal="center" vertical="center" wrapText="1"/>
    </xf>
    <xf numFmtId="49" fontId="5" fillId="26" borderId="1" xfId="0" applyNumberFormat="1" applyFont="1" applyFill="1" applyBorder="1" applyAlignment="1">
      <alignment horizontal="center" vertical="center" wrapText="1"/>
    </xf>
    <xf numFmtId="49" fontId="40" fillId="26" borderId="1" xfId="0" applyNumberFormat="1" applyFont="1" applyFill="1" applyBorder="1" applyAlignment="1">
      <alignment horizontal="center" wrapText="1"/>
    </xf>
    <xf numFmtId="2" fontId="40" fillId="26" borderId="3" xfId="0" applyNumberFormat="1" applyFont="1" applyFill="1" applyBorder="1" applyAlignment="1">
      <alignment horizontal="center" wrapText="1"/>
    </xf>
    <xf numFmtId="195" fontId="34" fillId="26" borderId="3" xfId="0" applyNumberFormat="1" applyFont="1" applyFill="1" applyBorder="1" applyAlignment="1">
      <alignment horizontal="center" wrapText="1"/>
    </xf>
    <xf numFmtId="2" fontId="41" fillId="25" borderId="4" xfId="0" applyNumberFormat="1" applyFont="1" applyFill="1" applyBorder="1" applyAlignment="1">
      <alignment horizontal="center" vertical="center" wrapText="1"/>
    </xf>
    <xf numFmtId="49" fontId="39" fillId="11" borderId="4" xfId="0" applyNumberFormat="1" applyFont="1" applyFill="1" applyBorder="1" applyAlignment="1">
      <alignment horizontal="left" vertical="center" wrapText="1"/>
    </xf>
    <xf numFmtId="0" fontId="39" fillId="11" borderId="4" xfId="0" applyFont="1" applyFill="1" applyBorder="1" applyAlignment="1">
      <alignment horizontal="left" vertical="center" wrapText="1"/>
    </xf>
    <xf numFmtId="0" fontId="33" fillId="24" borderId="4" xfId="0" applyFont="1" applyFill="1" applyBorder="1" applyAlignment="1">
      <alignment horizontal="left" vertical="center" wrapText="1"/>
    </xf>
    <xf numFmtId="2" fontId="42" fillId="24" borderId="4" xfId="0" applyNumberFormat="1" applyFont="1" applyFill="1" applyBorder="1" applyAlignment="1">
      <alignment horizontal="center" vertical="center" wrapText="1"/>
    </xf>
    <xf numFmtId="2" fontId="27" fillId="0" borderId="0" xfId="54" applyNumberFormat="1" applyAlignment="1">
      <alignment vertical="center"/>
    </xf>
    <xf numFmtId="2" fontId="43" fillId="25" borderId="4" xfId="0" applyNumberFormat="1" applyFont="1" applyFill="1" applyBorder="1" applyAlignment="1">
      <alignment horizontal="center" vertical="center" wrapText="1"/>
    </xf>
    <xf numFmtId="2" fontId="37" fillId="31" borderId="4" xfId="0" applyNumberFormat="1" applyFont="1" applyFill="1" applyBorder="1" applyAlignment="1">
      <alignment horizontal="center" vertical="center" wrapText="1"/>
    </xf>
    <xf numFmtId="2" fontId="37" fillId="32" borderId="4" xfId="0" applyNumberFormat="1" applyFont="1" applyFill="1" applyBorder="1" applyAlignment="1">
      <alignment horizontal="center" vertical="center" wrapText="1"/>
    </xf>
    <xf numFmtId="49" fontId="44" fillId="29" borderId="4" xfId="0" applyNumberFormat="1" applyFont="1" applyFill="1" applyBorder="1" applyAlignment="1">
      <alignment horizontal="center" vertical="center" wrapText="1"/>
    </xf>
    <xf numFmtId="0" fontId="44" fillId="29" borderId="4" xfId="0" applyFont="1" applyFill="1" applyBorder="1" applyAlignment="1">
      <alignment horizontal="left" vertical="center" wrapText="1"/>
    </xf>
    <xf numFmtId="0" fontId="41" fillId="25" borderId="0" xfId="0" applyFont="1" applyFill="1" applyAlignment="1">
      <alignment vertical="center" wrapText="1"/>
    </xf>
    <xf numFmtId="196" fontId="5" fillId="0" borderId="0" xfId="0" applyNumberFormat="1" applyFont="1" applyAlignment="1">
      <alignment horizontal="center"/>
    </xf>
    <xf numFmtId="49" fontId="41" fillId="25" borderId="4" xfId="0" applyNumberFormat="1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vertical="center" wrapText="1"/>
    </xf>
    <xf numFmtId="49" fontId="39" fillId="29" borderId="5" xfId="0" applyNumberFormat="1" applyFont="1" applyFill="1" applyBorder="1" applyAlignment="1">
      <alignment horizontal="left" vertical="center" wrapText="1"/>
    </xf>
    <xf numFmtId="0" fontId="39" fillId="29" borderId="5" xfId="0" applyFont="1" applyFill="1" applyBorder="1" applyAlignment="1">
      <alignment horizontal="left" vertical="center" wrapText="1"/>
    </xf>
    <xf numFmtId="2" fontId="37" fillId="30" borderId="5" xfId="0" applyNumberFormat="1" applyFont="1" applyFill="1" applyBorder="1" applyAlignment="1">
      <alignment horizontal="center" vertical="center" wrapText="1"/>
    </xf>
    <xf numFmtId="2" fontId="39" fillId="29" borderId="5" xfId="0" applyNumberFormat="1" applyFont="1" applyFill="1" applyBorder="1" applyAlignment="1">
      <alignment horizontal="center" vertical="center" wrapText="1"/>
    </xf>
    <xf numFmtId="195" fontId="39" fillId="29" borderId="5" xfId="0" applyNumberFormat="1" applyFont="1" applyFill="1" applyBorder="1" applyAlignment="1">
      <alignment horizontal="center" vertical="center" wrapText="1"/>
    </xf>
    <xf numFmtId="4" fontId="34" fillId="33" borderId="6" xfId="0" applyNumberFormat="1" applyFont="1" applyFill="1" applyBorder="1" applyAlignment="1">
      <alignment horizontal="right"/>
    </xf>
    <xf numFmtId="4" fontId="5" fillId="0" borderId="6" xfId="0" applyNumberFormat="1" applyFont="1" applyBorder="1"/>
    <xf numFmtId="195" fontId="34" fillId="33" borderId="6" xfId="0" applyNumberFormat="1" applyFont="1" applyFill="1" applyBorder="1" applyAlignment="1">
      <alignment horizontal="center"/>
    </xf>
    <xf numFmtId="0" fontId="13" fillId="34" borderId="6" xfId="54" applyFont="1" applyFill="1" applyBorder="1" applyAlignment="1">
      <alignment horizontal="right" vertical="center"/>
    </xf>
    <xf numFmtId="2" fontId="26" fillId="34" borderId="6" xfId="50" applyNumberFormat="1" applyFont="1" applyFill="1" applyBorder="1" applyAlignment="1" applyProtection="1">
      <alignment vertical="center"/>
    </xf>
    <xf numFmtId="0" fontId="13" fillId="35" borderId="6" xfId="54" applyFont="1" applyFill="1" applyBorder="1" applyAlignment="1">
      <alignment horizontal="right" vertical="center"/>
    </xf>
    <xf numFmtId="2" fontId="26" fillId="35" borderId="6" xfId="50" applyNumberFormat="1" applyFont="1" applyFill="1" applyBorder="1" applyAlignment="1" applyProtection="1">
      <alignment vertical="center"/>
    </xf>
    <xf numFmtId="0" fontId="28" fillId="12" borderId="0" xfId="54" applyFont="1" applyFill="1" applyAlignment="1">
      <alignment horizontal="left" vertical="center"/>
    </xf>
    <xf numFmtId="0" fontId="28" fillId="36" borderId="0" xfId="54" applyFont="1" applyFill="1" applyAlignment="1">
      <alignment horizontal="left" vertical="center" wrapText="1"/>
    </xf>
    <xf numFmtId="0" fontId="28" fillId="5" borderId="0" xfId="54" applyFont="1" applyFill="1" applyAlignment="1">
      <alignment horizontal="left" vertical="center" wrapText="1"/>
    </xf>
    <xf numFmtId="0" fontId="26" fillId="37" borderId="0" xfId="54" applyFont="1" applyFill="1" applyAlignment="1">
      <alignment horizontal="left" vertical="center"/>
    </xf>
    <xf numFmtId="0" fontId="26" fillId="12" borderId="0" xfId="54" applyFont="1" applyFill="1" applyAlignment="1">
      <alignment horizontal="left" vertical="center" wrapText="1"/>
    </xf>
    <xf numFmtId="0" fontId="27" fillId="0" borderId="0" xfId="54" applyAlignment="1">
      <alignment vertical="center" wrapText="1"/>
    </xf>
    <xf numFmtId="0" fontId="26" fillId="5" borderId="0" xfId="54" applyFont="1" applyFill="1" applyAlignment="1">
      <alignment horizontal="left" vertical="center" wrapText="1"/>
    </xf>
    <xf numFmtId="0" fontId="26" fillId="38" borderId="0" xfId="54" applyFont="1" applyFill="1" applyAlignment="1">
      <alignment horizontal="left" vertical="center" wrapText="1"/>
    </xf>
    <xf numFmtId="0" fontId="45" fillId="39" borderId="1" xfId="0" applyFont="1" applyFill="1" applyBorder="1" applyAlignment="1">
      <alignment horizontal="center" vertical="center" wrapText="1"/>
    </xf>
    <xf numFmtId="0" fontId="45" fillId="39" borderId="4" xfId="0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justify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186" fontId="47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right" vertical="center" wrapText="1"/>
    </xf>
    <xf numFmtId="0" fontId="45" fillId="0" borderId="2" xfId="0" applyFont="1" applyBorder="1" applyAlignment="1">
      <alignment horizontal="right" vertical="center" wrapText="1"/>
    </xf>
    <xf numFmtId="0" fontId="45" fillId="0" borderId="3" xfId="0" applyFont="1" applyBorder="1" applyAlignment="1">
      <alignment horizontal="right" vertical="center" wrapText="1"/>
    </xf>
    <xf numFmtId="186" fontId="48" fillId="0" borderId="1" xfId="0" applyNumberFormat="1" applyFont="1" applyBorder="1" applyAlignment="1">
      <alignment horizontal="center" vertical="center" wrapText="1"/>
    </xf>
    <xf numFmtId="186" fontId="48" fillId="0" borderId="2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58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Moeda 4 2" xfId="49"/>
    <cellStyle name="Moeda 4 2 3" xfId="50"/>
    <cellStyle name="Normal 2" xfId="51"/>
    <cellStyle name="Normal 3" xfId="52"/>
    <cellStyle name="Normal 3 3" xfId="53"/>
    <cellStyle name="Normal 7 2" xfId="54"/>
    <cellStyle name="Vírgula 2 2" xfId="55"/>
    <cellStyle name="Vírgula 2 2 2" xfId="56"/>
    <cellStyle name="Moeda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Normal="100" topLeftCell="C1" workbookViewId="0">
      <selection activeCell="E3" sqref="E3"/>
    </sheetView>
  </sheetViews>
  <sheetFormatPr defaultColWidth="14.4285714285714" defaultRowHeight="15" outlineLevelCol="5"/>
  <cols>
    <col min="1" max="1" width="6.14285714285714" customWidth="1"/>
    <col min="2" max="2" width="50.2857142857143" customWidth="1"/>
    <col min="3" max="4" width="14.4285714285714" customWidth="1"/>
    <col min="5" max="5" width="16" customWidth="1"/>
    <col min="6" max="6" width="23.5714285714286" customWidth="1"/>
    <col min="7" max="7" width="14.4285714285714" customWidth="1"/>
  </cols>
  <sheetData>
    <row r="1" spans="1:6">
      <c r="A1" s="485" t="s">
        <v>0</v>
      </c>
      <c r="B1" s="63"/>
      <c r="C1" s="63"/>
      <c r="D1" s="63"/>
      <c r="E1" s="63"/>
      <c r="F1" s="71"/>
    </row>
    <row r="2" spans="1:6">
      <c r="A2" s="486" t="s">
        <v>1</v>
      </c>
      <c r="B2" s="486" t="s">
        <v>2</v>
      </c>
      <c r="C2" s="486" t="s">
        <v>3</v>
      </c>
      <c r="D2" s="485" t="s">
        <v>4</v>
      </c>
      <c r="E2" s="485" t="s">
        <v>5</v>
      </c>
      <c r="F2" s="486" t="s">
        <v>6</v>
      </c>
    </row>
    <row r="3" ht="45.75" customHeight="1" spans="1:6">
      <c r="A3" s="487">
        <v>1</v>
      </c>
      <c r="B3" s="488" t="s">
        <v>7</v>
      </c>
      <c r="C3" s="489" t="s">
        <v>8</v>
      </c>
      <c r="D3" s="490">
        <v>12</v>
      </c>
      <c r="E3" s="491" t="e">
        <f>PRODUTIVIDADE!G109</f>
        <v>#REF!</v>
      </c>
      <c r="F3" s="491" t="e">
        <f>PRODUTIVIDADE!G110</f>
        <v>#REF!</v>
      </c>
    </row>
    <row r="4" ht="35.25" customHeight="1" spans="1:6">
      <c r="A4" s="487">
        <v>2</v>
      </c>
      <c r="B4" s="488" t="s">
        <v>9</v>
      </c>
      <c r="C4" s="489" t="s">
        <v>8</v>
      </c>
      <c r="D4" s="490">
        <v>12</v>
      </c>
      <c r="E4" s="491">
        <f>'OPERADOR DE ROÇADEIRA'!I140</f>
        <v>11749.98</v>
      </c>
      <c r="F4" s="491">
        <f>E4*12</f>
        <v>140999.76</v>
      </c>
    </row>
    <row r="5" ht="13.5" customHeight="1" spans="1:6">
      <c r="A5" s="492" t="s">
        <v>10</v>
      </c>
      <c r="B5" s="493"/>
      <c r="C5" s="493"/>
      <c r="D5" s="494"/>
      <c r="E5" s="495" t="e">
        <f>SUM(E3,E4)</f>
        <v>#REF!</v>
      </c>
      <c r="F5" s="496"/>
    </row>
    <row r="6" ht="21" customHeight="1" spans="1:6">
      <c r="A6" s="492" t="s">
        <v>11</v>
      </c>
      <c r="B6" s="493"/>
      <c r="C6" s="493"/>
      <c r="D6" s="494"/>
      <c r="E6" s="495" t="e">
        <f>SUM(F3,F4)</f>
        <v>#REF!</v>
      </c>
      <c r="F6" s="496"/>
    </row>
    <row r="7" ht="21.75" customHeight="1" spans="2:2">
      <c r="B7" s="497"/>
    </row>
    <row r="8" ht="44.25" customHeight="1" spans="1:6">
      <c r="A8" s="497" t="s">
        <v>12</v>
      </c>
      <c r="B8" s="498"/>
      <c r="C8" s="498"/>
      <c r="D8" s="498"/>
      <c r="E8" s="498"/>
      <c r="F8" s="498"/>
    </row>
    <row r="10" ht="57.75" customHeight="1"/>
  </sheetData>
  <mergeCells count="6">
    <mergeCell ref="A1:F1"/>
    <mergeCell ref="A5:D5"/>
    <mergeCell ref="E5:F5"/>
    <mergeCell ref="A6:D6"/>
    <mergeCell ref="E6:F6"/>
    <mergeCell ref="A8:F8"/>
  </mergeCells>
  <pageMargins left="0.236111111111111" right="0.236111111111111" top="1.05277777777778" bottom="1.05277777777778" header="0" footer="0"/>
  <pageSetup paperSize="9" orientation="landscape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MJ351"/>
  <sheetViews>
    <sheetView topLeftCell="A37" workbookViewId="0">
      <selection activeCell="F44" sqref="F44:F45"/>
    </sheetView>
  </sheetViews>
  <sheetFormatPr defaultColWidth="10.2857142857143" defaultRowHeight="14.25"/>
  <cols>
    <col min="1" max="1" width="5.14285714285714" style="320" customWidth="1"/>
    <col min="2" max="2" width="41.1428571428571" style="320" customWidth="1"/>
    <col min="3" max="3" width="15.2857142857143" style="320" customWidth="1"/>
    <col min="4" max="4" width="22.8571428571429" style="320" customWidth="1"/>
    <col min="5" max="5" width="21" style="320" customWidth="1"/>
    <col min="6" max="6" width="23.2857142857143" style="320" customWidth="1"/>
    <col min="7" max="8" width="21" style="320" customWidth="1"/>
    <col min="9" max="9" width="16.2857142857143" style="320" customWidth="1"/>
    <col min="10" max="10" width="27.5714285714286" style="320" customWidth="1"/>
    <col min="11" max="11" width="22.7142857142857" style="320" customWidth="1"/>
    <col min="12" max="12" width="13.2857142857143" style="320" customWidth="1"/>
    <col min="13" max="255" width="10.2857142857143" style="320"/>
    <col min="256" max="256" width="3.14285714285714" style="320" customWidth="1"/>
    <col min="257" max="257" width="30.8571428571429" style="320" customWidth="1"/>
    <col min="258" max="258" width="36.4285714285714" style="320" customWidth="1"/>
    <col min="259" max="263" width="21" style="320" customWidth="1"/>
    <col min="264" max="264" width="14.1428571428571" style="320" customWidth="1"/>
    <col min="265" max="265" width="16.2857142857143" style="320" customWidth="1"/>
    <col min="266" max="511" width="10.2857142857143" style="320"/>
    <col min="512" max="512" width="3.14285714285714" style="320" customWidth="1"/>
    <col min="513" max="513" width="30.8571428571429" style="320" customWidth="1"/>
    <col min="514" max="514" width="36.4285714285714" style="320" customWidth="1"/>
    <col min="515" max="519" width="21" style="320" customWidth="1"/>
    <col min="520" max="520" width="14.1428571428571" style="320" customWidth="1"/>
    <col min="521" max="521" width="16.2857142857143" style="320" customWidth="1"/>
    <col min="522" max="767" width="10.2857142857143" style="320"/>
    <col min="768" max="768" width="3.14285714285714" style="320" customWidth="1"/>
    <col min="769" max="769" width="30.8571428571429" style="320" customWidth="1"/>
    <col min="770" max="770" width="36.4285714285714" style="320" customWidth="1"/>
    <col min="771" max="775" width="21" style="320" customWidth="1"/>
    <col min="776" max="776" width="14.1428571428571" style="320" customWidth="1"/>
    <col min="777" max="777" width="16.2857142857143" style="320" customWidth="1"/>
    <col min="778" max="1023" width="10.2857142857143" style="320"/>
    <col min="1024" max="16384" width="10.2857142857143" style="321"/>
  </cols>
  <sheetData>
    <row r="2" ht="12.75" customHeight="1" spans="1:8">
      <c r="A2" s="322" t="s">
        <v>13</v>
      </c>
      <c r="B2" s="322"/>
      <c r="C2" s="322"/>
      <c r="D2" s="322"/>
      <c r="E2" s="322"/>
      <c r="F2" s="322"/>
      <c r="G2" s="323"/>
      <c r="H2" s="323"/>
    </row>
    <row r="4" spans="1:10">
      <c r="A4" s="324" t="s">
        <v>14</v>
      </c>
      <c r="B4" s="324"/>
      <c r="C4" s="325"/>
      <c r="D4" s="325"/>
      <c r="E4" s="325"/>
      <c r="F4" s="325"/>
      <c r="G4" s="326"/>
      <c r="H4" s="326"/>
      <c r="I4" s="326"/>
      <c r="J4" s="326"/>
    </row>
    <row r="5" spans="2:10">
      <c r="B5" s="327"/>
      <c r="C5" s="326"/>
      <c r="D5" s="326"/>
      <c r="E5" s="326"/>
      <c r="F5" s="326"/>
      <c r="G5" s="326"/>
      <c r="H5" s="326"/>
      <c r="I5" s="326"/>
      <c r="J5" s="326"/>
    </row>
    <row r="6" ht="15" customHeight="1" spans="2:10">
      <c r="B6" s="327" t="s">
        <v>15</v>
      </c>
      <c r="C6" s="326"/>
      <c r="D6" s="326"/>
      <c r="E6" s="326"/>
      <c r="F6" s="326"/>
      <c r="G6" s="326"/>
      <c r="H6" s="326"/>
      <c r="I6" s="326"/>
      <c r="J6" s="326"/>
    </row>
    <row r="7" ht="38.25" spans="2:1024">
      <c r="B7" s="328" t="s">
        <v>16</v>
      </c>
      <c r="C7" s="329" t="s">
        <v>17</v>
      </c>
      <c r="D7" s="330"/>
      <c r="E7" s="328" t="s">
        <v>18</v>
      </c>
      <c r="F7" s="328" t="s">
        <v>19</v>
      </c>
      <c r="G7" s="326"/>
      <c r="H7" s="326"/>
      <c r="I7" s="326"/>
      <c r="J7" s="326"/>
      <c r="K7" s="326"/>
      <c r="AMJ7" s="320"/>
    </row>
    <row r="8" customHeight="1" spans="2:1024">
      <c r="B8" s="331" t="s">
        <v>20</v>
      </c>
      <c r="C8" s="332">
        <v>1</v>
      </c>
      <c r="D8" s="333"/>
      <c r="E8" s="334">
        <f>ENCARREGADO!I138</f>
        <v>4237.95</v>
      </c>
      <c r="F8" s="334">
        <f>ROUND(E8/(30*1200),2)</f>
        <v>0.12</v>
      </c>
      <c r="G8" s="326"/>
      <c r="H8" s="326"/>
      <c r="I8" s="326"/>
      <c r="J8" s="326"/>
      <c r="K8" s="326"/>
      <c r="AMJ8" s="320"/>
    </row>
    <row r="9" ht="10.5" customHeight="1" spans="2:1024">
      <c r="B9" s="335"/>
      <c r="C9" s="332" t="s">
        <v>21</v>
      </c>
      <c r="D9" s="333"/>
      <c r="E9" s="336"/>
      <c r="F9" s="336"/>
      <c r="G9" s="326"/>
      <c r="H9" s="326"/>
      <c r="I9" s="326"/>
      <c r="J9" s="326"/>
      <c r="K9" s="326"/>
      <c r="AMJ9" s="320"/>
    </row>
    <row r="10" spans="2:1024">
      <c r="B10" s="337" t="s">
        <v>22</v>
      </c>
      <c r="C10" s="338">
        <v>1200</v>
      </c>
      <c r="D10" s="338">
        <f>1/1200</f>
        <v>0.000833333333333333</v>
      </c>
      <c r="E10" s="339" t="e">
        <f>#REF!</f>
        <v>#REF!</v>
      </c>
      <c r="F10" s="340" t="e">
        <f>ROUND(D10*E10,2)</f>
        <v>#REF!</v>
      </c>
      <c r="G10" s="326"/>
      <c r="H10" s="341"/>
      <c r="I10" s="326"/>
      <c r="J10" s="326"/>
      <c r="K10" s="326"/>
      <c r="AMJ10" s="320"/>
    </row>
    <row r="11" spans="2:1024"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AMJ11" s="320"/>
    </row>
    <row r="12" spans="2:1024">
      <c r="B12" s="327" t="s">
        <v>23</v>
      </c>
      <c r="C12" s="326"/>
      <c r="D12" s="326"/>
      <c r="E12" s="326"/>
      <c r="F12" s="326"/>
      <c r="G12" s="326"/>
      <c r="H12" s="326"/>
      <c r="I12" s="326"/>
      <c r="J12" s="326"/>
      <c r="K12" s="326"/>
      <c r="AMJ12" s="320"/>
    </row>
    <row r="13" ht="38.25" spans="2:1024">
      <c r="B13" s="328" t="s">
        <v>16</v>
      </c>
      <c r="C13" s="329" t="s">
        <v>17</v>
      </c>
      <c r="D13" s="330"/>
      <c r="E13" s="328" t="s">
        <v>18</v>
      </c>
      <c r="F13" s="328" t="s">
        <v>19</v>
      </c>
      <c r="G13" s="326"/>
      <c r="H13" s="326"/>
      <c r="I13" s="326"/>
      <c r="J13" s="326"/>
      <c r="K13" s="326"/>
      <c r="AMJ13" s="320"/>
    </row>
    <row r="14" spans="2:1024">
      <c r="B14" s="331" t="s">
        <v>20</v>
      </c>
      <c r="C14" s="332">
        <v>1</v>
      </c>
      <c r="D14" s="333"/>
      <c r="E14" s="334">
        <f>ENCARREGADO!I138</f>
        <v>4237.95</v>
      </c>
      <c r="F14" s="334">
        <f>ROUND(E14/(30*450),2)</f>
        <v>0.31</v>
      </c>
      <c r="G14" s="326"/>
      <c r="H14" s="326"/>
      <c r="I14" s="326"/>
      <c r="J14" s="326"/>
      <c r="K14" s="326"/>
      <c r="AMJ14" s="320"/>
    </row>
    <row r="15" spans="2:1024">
      <c r="B15" s="335"/>
      <c r="C15" s="332" t="s">
        <v>24</v>
      </c>
      <c r="D15" s="333"/>
      <c r="E15" s="336"/>
      <c r="F15" s="336"/>
      <c r="G15" s="326"/>
      <c r="H15" s="326"/>
      <c r="I15" s="326"/>
      <c r="J15" s="326"/>
      <c r="K15" s="326"/>
      <c r="AMJ15" s="320"/>
    </row>
    <row r="16" spans="2:1024">
      <c r="B16" s="337" t="s">
        <v>25</v>
      </c>
      <c r="C16" s="338">
        <v>450</v>
      </c>
      <c r="D16" s="338">
        <f>1/450</f>
        <v>0.00222222222222222</v>
      </c>
      <c r="E16" s="339" t="e">
        <f>#REF!</f>
        <v>#REF!</v>
      </c>
      <c r="F16" s="340" t="e">
        <f>ROUND(D16*E16,2)</f>
        <v>#REF!</v>
      </c>
      <c r="G16" s="326"/>
      <c r="H16" s="326"/>
      <c r="I16" s="326"/>
      <c r="J16" s="326"/>
      <c r="K16" s="326"/>
      <c r="AMJ16" s="320"/>
    </row>
    <row r="17" spans="2:1024">
      <c r="B17" s="326"/>
      <c r="C17" s="326"/>
      <c r="D17" s="326"/>
      <c r="E17" s="326"/>
      <c r="F17" s="326"/>
      <c r="G17" s="326"/>
      <c r="H17" s="326"/>
      <c r="I17" s="326"/>
      <c r="J17" s="326"/>
      <c r="K17" s="326"/>
      <c r="AMJ17" s="320"/>
    </row>
    <row r="18" spans="2:1024">
      <c r="B18" s="327" t="s">
        <v>26</v>
      </c>
      <c r="C18" s="326"/>
      <c r="D18" s="326"/>
      <c r="E18" s="326"/>
      <c r="F18" s="326"/>
      <c r="G18" s="326"/>
      <c r="H18" s="326"/>
      <c r="I18" s="326"/>
      <c r="J18" s="326"/>
      <c r="K18" s="326"/>
      <c r="AMJ18" s="320"/>
    </row>
    <row r="19" ht="38.25" spans="2:1024">
      <c r="B19" s="328" t="s">
        <v>16</v>
      </c>
      <c r="C19" s="329" t="s">
        <v>17</v>
      </c>
      <c r="D19" s="330"/>
      <c r="E19" s="328" t="s">
        <v>18</v>
      </c>
      <c r="F19" s="328" t="s">
        <v>19</v>
      </c>
      <c r="G19" s="326"/>
      <c r="H19" s="326"/>
      <c r="I19" s="326"/>
      <c r="J19" s="326"/>
      <c r="K19" s="326"/>
      <c r="AMJ19" s="320"/>
    </row>
    <row r="20" spans="2:1024">
      <c r="B20" s="331" t="s">
        <v>20</v>
      </c>
      <c r="C20" s="332">
        <v>1</v>
      </c>
      <c r="D20" s="333"/>
      <c r="E20" s="334">
        <f>ENCARREGADO!I138</f>
        <v>4237.95</v>
      </c>
      <c r="F20" s="334">
        <f>ROUND(E20/(30*1500),2)</f>
        <v>0.09</v>
      </c>
      <c r="G20" s="326"/>
      <c r="H20" s="326"/>
      <c r="I20" s="326"/>
      <c r="J20" s="326"/>
      <c r="K20" s="326"/>
      <c r="AMJ20" s="320"/>
    </row>
    <row r="21" spans="2:1024">
      <c r="B21" s="335"/>
      <c r="C21" s="332" t="s">
        <v>27</v>
      </c>
      <c r="D21" s="333"/>
      <c r="E21" s="336"/>
      <c r="F21" s="336"/>
      <c r="G21" s="326"/>
      <c r="H21" s="326"/>
      <c r="I21" s="326"/>
      <c r="J21" s="326"/>
      <c r="K21" s="326"/>
      <c r="AMJ21" s="320"/>
    </row>
    <row r="22" spans="2:1024">
      <c r="B22" s="337" t="s">
        <v>22</v>
      </c>
      <c r="C22" s="338">
        <v>1500</v>
      </c>
      <c r="D22" s="338">
        <f>1/1500</f>
        <v>0.000666666666666667</v>
      </c>
      <c r="E22" s="339" t="e">
        <f>#REF!</f>
        <v>#REF!</v>
      </c>
      <c r="F22" s="340" t="e">
        <f>ROUND(D22*E22,2)</f>
        <v>#REF!</v>
      </c>
      <c r="G22" s="326"/>
      <c r="H22" s="326"/>
      <c r="I22" s="326"/>
      <c r="J22" s="326"/>
      <c r="K22" s="326"/>
      <c r="AMJ22" s="320"/>
    </row>
    <row r="23" spans="2:1024"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AMJ23" s="320"/>
    </row>
    <row r="24" spans="2:1024">
      <c r="B24" s="327" t="s">
        <v>28</v>
      </c>
      <c r="C24" s="326"/>
      <c r="D24" s="326"/>
      <c r="E24" s="326"/>
      <c r="F24" s="326"/>
      <c r="G24" s="326"/>
      <c r="H24" s="326"/>
      <c r="I24" s="326"/>
      <c r="J24" s="326"/>
      <c r="K24" s="326"/>
      <c r="AMJ24" s="320"/>
    </row>
    <row r="25" ht="38.25" spans="2:1024">
      <c r="B25" s="328" t="s">
        <v>16</v>
      </c>
      <c r="C25" s="329" t="s">
        <v>17</v>
      </c>
      <c r="D25" s="330"/>
      <c r="E25" s="328" t="s">
        <v>18</v>
      </c>
      <c r="F25" s="328" t="s">
        <v>19</v>
      </c>
      <c r="G25" s="326"/>
      <c r="H25" s="326"/>
      <c r="I25" s="326"/>
      <c r="J25" s="326"/>
      <c r="K25" s="326"/>
      <c r="AMJ25" s="320"/>
    </row>
    <row r="26" spans="2:1024">
      <c r="B26" s="331" t="s">
        <v>20</v>
      </c>
      <c r="C26" s="332">
        <v>1</v>
      </c>
      <c r="D26" s="333"/>
      <c r="E26" s="334">
        <f>ENCARREGADO!I138</f>
        <v>4237.95</v>
      </c>
      <c r="F26" s="334">
        <f>ROUND(E26/(30*1500),2)</f>
        <v>0.09</v>
      </c>
      <c r="G26" s="326"/>
      <c r="H26" s="326"/>
      <c r="I26" s="326"/>
      <c r="J26" s="326"/>
      <c r="K26" s="326"/>
      <c r="AMJ26" s="320"/>
    </row>
    <row r="27" spans="2:1024">
      <c r="B27" s="335"/>
      <c r="C27" s="332" t="s">
        <v>27</v>
      </c>
      <c r="D27" s="333"/>
      <c r="E27" s="336"/>
      <c r="F27" s="336"/>
      <c r="G27" s="326"/>
      <c r="H27" s="326"/>
      <c r="I27" s="326"/>
      <c r="J27" s="326"/>
      <c r="K27" s="326"/>
      <c r="AMJ27" s="320"/>
    </row>
    <row r="28" spans="2:1024">
      <c r="B28" s="337" t="s">
        <v>25</v>
      </c>
      <c r="C28" s="338">
        <v>1500</v>
      </c>
      <c r="D28" s="338">
        <f>1/1500</f>
        <v>0.000666666666666667</v>
      </c>
      <c r="E28" s="339" t="e">
        <f>#REF!</f>
        <v>#REF!</v>
      </c>
      <c r="F28" s="340" t="e">
        <f>ROUND(D28*E28,2)</f>
        <v>#REF!</v>
      </c>
      <c r="G28" s="326"/>
      <c r="H28" s="326"/>
      <c r="I28" s="326"/>
      <c r="J28" s="326"/>
      <c r="K28" s="326"/>
      <c r="AMJ28" s="320"/>
    </row>
    <row r="29" spans="2:1024"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AMJ29" s="320"/>
    </row>
    <row r="30" spans="2:1024">
      <c r="B30" s="327" t="s">
        <v>29</v>
      </c>
      <c r="C30" s="326"/>
      <c r="D30" s="326"/>
      <c r="E30" s="326"/>
      <c r="F30" s="326"/>
      <c r="G30" s="326"/>
      <c r="H30" s="326"/>
      <c r="I30" s="326"/>
      <c r="J30" s="326"/>
      <c r="K30" s="326"/>
      <c r="AMJ30" s="320"/>
    </row>
    <row r="31" ht="38.25" spans="2:1024">
      <c r="B31" s="328" t="s">
        <v>16</v>
      </c>
      <c r="C31" s="329" t="s">
        <v>17</v>
      </c>
      <c r="D31" s="330"/>
      <c r="E31" s="328" t="s">
        <v>18</v>
      </c>
      <c r="F31" s="328" t="s">
        <v>19</v>
      </c>
      <c r="G31" s="326"/>
      <c r="H31" s="326"/>
      <c r="I31" s="326"/>
      <c r="J31" s="326"/>
      <c r="K31" s="326"/>
      <c r="AMJ31" s="320"/>
    </row>
    <row r="32" spans="2:1024">
      <c r="B32" s="331" t="s">
        <v>20</v>
      </c>
      <c r="C32" s="332">
        <v>1</v>
      </c>
      <c r="D32" s="333"/>
      <c r="E32" s="334">
        <f>ENCARREGADO!I138</f>
        <v>4237.95</v>
      </c>
      <c r="F32" s="334">
        <f>ROUND(E32/(30*1500),2)</f>
        <v>0.09</v>
      </c>
      <c r="G32" s="326"/>
      <c r="H32" s="326"/>
      <c r="I32" s="326"/>
      <c r="J32" s="326"/>
      <c r="K32" s="326"/>
      <c r="AMJ32" s="320"/>
    </row>
    <row r="33" spans="2:1024">
      <c r="B33" s="335"/>
      <c r="C33" s="332" t="s">
        <v>27</v>
      </c>
      <c r="D33" s="333"/>
      <c r="E33" s="336"/>
      <c r="F33" s="336"/>
      <c r="G33" s="326"/>
      <c r="H33" s="326"/>
      <c r="I33" s="326"/>
      <c r="J33" s="326"/>
      <c r="K33" s="326"/>
      <c r="AMJ33" s="320"/>
    </row>
    <row r="34" spans="2:1024">
      <c r="B34" s="337" t="s">
        <v>22</v>
      </c>
      <c r="C34" s="338">
        <v>1500</v>
      </c>
      <c r="D34" s="338">
        <f>1/1500</f>
        <v>0.000666666666666667</v>
      </c>
      <c r="E34" s="339" t="e">
        <f>#REF!</f>
        <v>#REF!</v>
      </c>
      <c r="F34" s="340" t="e">
        <f>ROUND(D34*E34,2)</f>
        <v>#REF!</v>
      </c>
      <c r="G34" s="326"/>
      <c r="H34" s="326"/>
      <c r="I34" s="326"/>
      <c r="J34" s="326"/>
      <c r="K34" s="326"/>
      <c r="AMJ34" s="320"/>
    </row>
    <row r="35" spans="2:1024"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AMJ35" s="320"/>
    </row>
    <row r="36" spans="2:1024">
      <c r="B36" s="327" t="s">
        <v>30</v>
      </c>
      <c r="C36" s="326"/>
      <c r="D36" s="326"/>
      <c r="E36" s="326"/>
      <c r="F36" s="326"/>
      <c r="G36" s="326"/>
      <c r="H36" s="326"/>
      <c r="I36" s="326"/>
      <c r="J36" s="326"/>
      <c r="K36" s="326"/>
      <c r="AMJ36" s="320"/>
    </row>
    <row r="37" ht="38.25" spans="2:1024">
      <c r="B37" s="328" t="s">
        <v>16</v>
      </c>
      <c r="C37" s="329" t="s">
        <v>17</v>
      </c>
      <c r="D37" s="330"/>
      <c r="E37" s="328" t="s">
        <v>18</v>
      </c>
      <c r="F37" s="328" t="s">
        <v>19</v>
      </c>
      <c r="G37" s="326"/>
      <c r="H37" s="326"/>
      <c r="I37" s="326"/>
      <c r="J37" s="326"/>
      <c r="K37" s="326"/>
      <c r="AMJ37" s="320"/>
    </row>
    <row r="38" spans="2:1024">
      <c r="B38" s="331" t="s">
        <v>20</v>
      </c>
      <c r="C38" s="332">
        <v>1</v>
      </c>
      <c r="D38" s="333"/>
      <c r="E38" s="334">
        <f>ENCARREGADO!I138</f>
        <v>4237.95</v>
      </c>
      <c r="F38" s="334">
        <f>ROUND(E38/(30*200),2)</f>
        <v>0.71</v>
      </c>
      <c r="G38" s="326"/>
      <c r="H38" s="326"/>
      <c r="I38" s="326"/>
      <c r="J38" s="326"/>
      <c r="K38" s="326"/>
      <c r="AMJ38" s="320"/>
    </row>
    <row r="39" spans="2:1024">
      <c r="B39" s="335"/>
      <c r="C39" s="332" t="s">
        <v>31</v>
      </c>
      <c r="D39" s="333"/>
      <c r="E39" s="336"/>
      <c r="F39" s="336"/>
      <c r="G39" s="326"/>
      <c r="H39" s="326"/>
      <c r="I39" s="326"/>
      <c r="J39" s="326"/>
      <c r="K39" s="326"/>
      <c r="AMJ39" s="320"/>
    </row>
    <row r="40" spans="2:1024">
      <c r="B40" s="337" t="s">
        <v>32</v>
      </c>
      <c r="C40" s="338">
        <v>200</v>
      </c>
      <c r="D40" s="338">
        <f>1/200</f>
        <v>0.005</v>
      </c>
      <c r="E40" s="339" t="e">
        <f>#REF!</f>
        <v>#REF!</v>
      </c>
      <c r="F40" s="340" t="e">
        <f>ROUND(D40*E40,2)</f>
        <v>#REF!</v>
      </c>
      <c r="G40" s="326"/>
      <c r="H40" s="326"/>
      <c r="I40" s="326"/>
      <c r="J40" s="326"/>
      <c r="K40" s="326"/>
      <c r="AMJ40" s="320"/>
    </row>
    <row r="41" spans="2:1024">
      <c r="B41" s="326"/>
      <c r="C41" s="326"/>
      <c r="D41" s="326"/>
      <c r="E41" s="326" t="s">
        <v>33</v>
      </c>
      <c r="F41" s="326"/>
      <c r="G41" s="326"/>
      <c r="H41" s="326"/>
      <c r="I41" s="326"/>
      <c r="J41" s="326"/>
      <c r="K41" s="326"/>
      <c r="AMJ41" s="320"/>
    </row>
    <row r="42" spans="2:1024">
      <c r="B42" s="327" t="s">
        <v>34</v>
      </c>
      <c r="C42" s="326"/>
      <c r="D42" s="326"/>
      <c r="E42" s="326"/>
      <c r="F42" s="326"/>
      <c r="G42" s="326"/>
      <c r="H42" s="326"/>
      <c r="I42" s="326"/>
      <c r="J42" s="326"/>
      <c r="K42" s="326"/>
      <c r="AMJ42" s="320"/>
    </row>
    <row r="43" ht="38.25" spans="2:1024">
      <c r="B43" s="328" t="s">
        <v>16</v>
      </c>
      <c r="C43" s="329" t="s">
        <v>17</v>
      </c>
      <c r="D43" s="330"/>
      <c r="E43" s="328" t="s">
        <v>18</v>
      </c>
      <c r="F43" s="328" t="s">
        <v>19</v>
      </c>
      <c r="G43" s="326"/>
      <c r="H43" s="326"/>
      <c r="I43" s="326"/>
      <c r="J43" s="326"/>
      <c r="K43" s="326"/>
      <c r="AMJ43" s="320"/>
    </row>
    <row r="44" spans="2:1024">
      <c r="B44" s="331" t="s">
        <v>20</v>
      </c>
      <c r="C44" s="332">
        <v>1</v>
      </c>
      <c r="D44" s="333"/>
      <c r="E44" s="334">
        <f>ENCARREGADO!I138</f>
        <v>4237.95</v>
      </c>
      <c r="F44" s="342">
        <f>ROUND(E44/(30*2700),2)</f>
        <v>0.05</v>
      </c>
      <c r="G44" s="326"/>
      <c r="H44" s="326"/>
      <c r="I44" s="326"/>
      <c r="J44" s="326"/>
      <c r="K44" s="326"/>
      <c r="AMJ44" s="320"/>
    </row>
    <row r="45" spans="2:1024">
      <c r="B45" s="335"/>
      <c r="C45" s="332" t="s">
        <v>35</v>
      </c>
      <c r="D45" s="333"/>
      <c r="E45" s="336"/>
      <c r="F45" s="343"/>
      <c r="G45" s="326"/>
      <c r="H45" s="326"/>
      <c r="I45" s="326"/>
      <c r="J45" s="326"/>
      <c r="K45" s="326"/>
      <c r="AMJ45" s="320"/>
    </row>
    <row r="46" spans="2:1024">
      <c r="B46" s="337" t="s">
        <v>22</v>
      </c>
      <c r="C46" s="338">
        <v>1800</v>
      </c>
      <c r="D46" s="338">
        <f>1/2700</f>
        <v>0.00037037037037037</v>
      </c>
      <c r="E46" s="339" t="e">
        <f>#REF!</f>
        <v>#REF!</v>
      </c>
      <c r="F46" s="340" t="e">
        <f>ROUND(D46*E46,2)</f>
        <v>#REF!</v>
      </c>
      <c r="G46" s="326"/>
      <c r="H46" s="326"/>
      <c r="I46" s="326"/>
      <c r="J46" s="326"/>
      <c r="K46" s="326"/>
      <c r="AMJ46" s="320"/>
    </row>
    <row r="47" spans="2:1024"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AMJ47" s="320"/>
    </row>
    <row r="48" spans="2:1024">
      <c r="B48" s="327" t="s">
        <v>36</v>
      </c>
      <c r="C48" s="326"/>
      <c r="D48" s="326"/>
      <c r="E48" s="326"/>
      <c r="F48" s="326"/>
      <c r="G48" s="326"/>
      <c r="H48" s="326"/>
      <c r="I48" s="326"/>
      <c r="J48" s="326"/>
      <c r="K48" s="326"/>
      <c r="AMJ48" s="320"/>
    </row>
    <row r="49" ht="38.25" spans="2:1024">
      <c r="B49" s="328" t="s">
        <v>16</v>
      </c>
      <c r="C49" s="329" t="s">
        <v>17</v>
      </c>
      <c r="D49" s="330"/>
      <c r="E49" s="328" t="s">
        <v>18</v>
      </c>
      <c r="F49" s="328" t="s">
        <v>19</v>
      </c>
      <c r="G49" s="326"/>
      <c r="H49" s="326"/>
      <c r="I49" s="326"/>
      <c r="J49" s="326"/>
      <c r="K49" s="326"/>
      <c r="AMJ49" s="320"/>
    </row>
    <row r="50" spans="2:1024">
      <c r="B50" s="331" t="s">
        <v>20</v>
      </c>
      <c r="C50" s="332">
        <v>1</v>
      </c>
      <c r="D50" s="333"/>
      <c r="E50" s="334">
        <f>ENCARREGADO!I138</f>
        <v>4237.95</v>
      </c>
      <c r="F50" s="334">
        <f>ROUND(E50/(30*6000),2)</f>
        <v>0.02</v>
      </c>
      <c r="G50" s="326"/>
      <c r="H50" s="326"/>
      <c r="I50" s="326"/>
      <c r="J50" s="326"/>
      <c r="K50" s="326"/>
      <c r="AMJ50" s="320"/>
    </row>
    <row r="51" spans="2:1024">
      <c r="B51" s="335"/>
      <c r="C51" s="332" t="s">
        <v>37</v>
      </c>
      <c r="D51" s="333"/>
      <c r="E51" s="336"/>
      <c r="F51" s="336"/>
      <c r="G51" s="326"/>
      <c r="H51" s="326"/>
      <c r="I51" s="326"/>
      <c r="J51" s="326"/>
      <c r="K51" s="326"/>
      <c r="AMJ51" s="320"/>
    </row>
    <row r="52" spans="2:1024">
      <c r="B52" s="337" t="s">
        <v>22</v>
      </c>
      <c r="C52" s="338">
        <v>6000</v>
      </c>
      <c r="D52" s="338">
        <f>1/6000</f>
        <v>0.000166666666666667</v>
      </c>
      <c r="E52" s="339" t="e">
        <f>#REF!</f>
        <v>#REF!</v>
      </c>
      <c r="F52" s="340" t="e">
        <f>ROUND(D52*E52,2)</f>
        <v>#REF!</v>
      </c>
      <c r="G52" s="326"/>
      <c r="H52" s="326"/>
      <c r="I52" s="326"/>
      <c r="J52" s="326"/>
      <c r="K52" s="326"/>
      <c r="AMJ52" s="320"/>
    </row>
    <row r="53" spans="2:1024">
      <c r="B53" s="326"/>
      <c r="C53" s="326"/>
      <c r="D53" s="326"/>
      <c r="E53" s="326"/>
      <c r="F53" s="326"/>
      <c r="G53" s="326"/>
      <c r="H53" s="326"/>
      <c r="I53" s="326"/>
      <c r="J53" s="326"/>
      <c r="K53" s="326"/>
      <c r="AMJ53" s="320"/>
    </row>
    <row r="54" spans="2:1024">
      <c r="B54" s="327" t="s">
        <v>38</v>
      </c>
      <c r="C54" s="326"/>
      <c r="D54" s="326"/>
      <c r="E54" s="326"/>
      <c r="F54" s="326"/>
      <c r="G54" s="326"/>
      <c r="H54" s="326"/>
      <c r="I54" s="326"/>
      <c r="J54" s="326"/>
      <c r="K54" s="326"/>
      <c r="AMJ54" s="320"/>
    </row>
    <row r="55" ht="38.25" spans="2:1024">
      <c r="B55" s="328" t="s">
        <v>16</v>
      </c>
      <c r="C55" s="329" t="s">
        <v>17</v>
      </c>
      <c r="D55" s="330"/>
      <c r="E55" s="328" t="s">
        <v>18</v>
      </c>
      <c r="F55" s="328" t="s">
        <v>19</v>
      </c>
      <c r="G55" s="326"/>
      <c r="H55" s="326"/>
      <c r="I55" s="326"/>
      <c r="J55" s="326"/>
      <c r="K55" s="326"/>
      <c r="AMJ55" s="320"/>
    </row>
    <row r="56" spans="2:1024">
      <c r="B56" s="331" t="s">
        <v>20</v>
      </c>
      <c r="C56" s="332">
        <v>1</v>
      </c>
      <c r="D56" s="333"/>
      <c r="E56" s="334">
        <f>ENCARREGADO!I138</f>
        <v>4237.95</v>
      </c>
      <c r="F56" s="334">
        <f>ROUND(E56/(30*1800),2)</f>
        <v>0.08</v>
      </c>
      <c r="G56" s="326"/>
      <c r="H56" s="326"/>
      <c r="I56" s="326"/>
      <c r="J56" s="326"/>
      <c r="K56" s="326"/>
      <c r="AMJ56" s="320"/>
    </row>
    <row r="57" spans="2:1024">
      <c r="B57" s="335"/>
      <c r="C57" s="332" t="s">
        <v>39</v>
      </c>
      <c r="D57" s="333"/>
      <c r="E57" s="336"/>
      <c r="F57" s="336"/>
      <c r="G57" s="326"/>
      <c r="H57" s="326"/>
      <c r="I57" s="326"/>
      <c r="J57" s="326"/>
      <c r="K57" s="326"/>
      <c r="AMJ57" s="320"/>
    </row>
    <row r="58" spans="2:1024">
      <c r="B58" s="337" t="s">
        <v>22</v>
      </c>
      <c r="C58" s="338">
        <v>1800</v>
      </c>
      <c r="D58" s="338">
        <f>1/1800</f>
        <v>0.000555555555555556</v>
      </c>
      <c r="E58" s="339" t="e">
        <f>#REF!</f>
        <v>#REF!</v>
      </c>
      <c r="F58" s="340" t="e">
        <f>ROUND(D58*E58,2)</f>
        <v>#REF!</v>
      </c>
      <c r="G58" s="326"/>
      <c r="H58" s="326"/>
      <c r="I58" s="326"/>
      <c r="J58" s="326"/>
      <c r="K58" s="326"/>
      <c r="AMJ58" s="320"/>
    </row>
    <row r="59" spans="2:1024">
      <c r="B59" s="326"/>
      <c r="C59" s="326"/>
      <c r="D59" s="326"/>
      <c r="E59" s="326"/>
      <c r="F59" s="326"/>
      <c r="G59" s="326"/>
      <c r="H59" s="326"/>
      <c r="I59" s="326"/>
      <c r="J59" s="326"/>
      <c r="K59" s="326"/>
      <c r="AMJ59" s="320"/>
    </row>
    <row r="60" spans="2:1024">
      <c r="B60" s="327" t="s">
        <v>40</v>
      </c>
      <c r="C60" s="326"/>
      <c r="D60" s="326"/>
      <c r="E60" s="326"/>
      <c r="F60" s="326"/>
      <c r="G60" s="326"/>
      <c r="H60" s="326"/>
      <c r="I60" s="326"/>
      <c r="J60" s="326"/>
      <c r="K60" s="326"/>
      <c r="AMJ60" s="320"/>
    </row>
    <row r="61" ht="38.25" spans="2:1024">
      <c r="B61" s="328" t="s">
        <v>16</v>
      </c>
      <c r="C61" s="329" t="s">
        <v>17</v>
      </c>
      <c r="D61" s="330"/>
      <c r="E61" s="328" t="s">
        <v>18</v>
      </c>
      <c r="F61" s="328" t="s">
        <v>19</v>
      </c>
      <c r="G61" s="326"/>
      <c r="H61" s="326"/>
      <c r="I61" s="326"/>
      <c r="J61" s="326"/>
      <c r="K61" s="326"/>
      <c r="AMJ61" s="320"/>
    </row>
    <row r="62" spans="2:1024">
      <c r="B62" s="331" t="s">
        <v>20</v>
      </c>
      <c r="C62" s="332">
        <v>1</v>
      </c>
      <c r="D62" s="333"/>
      <c r="E62" s="334">
        <f>ENCARREGADO!I138</f>
        <v>4237.95</v>
      </c>
      <c r="F62" s="334">
        <f>ROUND(E62/(30*2700),2)</f>
        <v>0.05</v>
      </c>
      <c r="G62" s="326"/>
      <c r="H62" s="326"/>
      <c r="I62" s="326"/>
      <c r="J62" s="326"/>
      <c r="K62" s="326"/>
      <c r="AMJ62" s="320"/>
    </row>
    <row r="63" spans="2:1024">
      <c r="B63" s="335"/>
      <c r="C63" s="332" t="s">
        <v>35</v>
      </c>
      <c r="D63" s="333"/>
      <c r="E63" s="336"/>
      <c r="F63" s="336"/>
      <c r="G63" s="326"/>
      <c r="H63" s="326"/>
      <c r="I63" s="326"/>
      <c r="J63" s="326"/>
      <c r="K63" s="326"/>
      <c r="AMJ63" s="320"/>
    </row>
    <row r="64" spans="2:1024">
      <c r="B64" s="337" t="s">
        <v>22</v>
      </c>
      <c r="C64" s="338">
        <v>2700</v>
      </c>
      <c r="D64" s="338">
        <f>1/2700</f>
        <v>0.00037037037037037</v>
      </c>
      <c r="E64" s="339" t="e">
        <f>#REF!</f>
        <v>#REF!</v>
      </c>
      <c r="F64" s="340" t="e">
        <f>ROUND(D64*E64,2)</f>
        <v>#REF!</v>
      </c>
      <c r="G64" s="326"/>
      <c r="H64" s="326"/>
      <c r="I64" s="326"/>
      <c r="J64" s="326"/>
      <c r="K64" s="326"/>
      <c r="AMJ64" s="320"/>
    </row>
    <row r="65" spans="2:1024">
      <c r="B65" s="326"/>
      <c r="C65" s="326"/>
      <c r="D65" s="326"/>
      <c r="E65" s="326"/>
      <c r="F65" s="326"/>
      <c r="G65" s="326"/>
      <c r="H65" s="326"/>
      <c r="I65" s="326"/>
      <c r="J65" s="326"/>
      <c r="K65" s="326"/>
      <c r="AMJ65" s="320"/>
    </row>
    <row r="66" spans="2:1024">
      <c r="B66" s="327" t="s">
        <v>41</v>
      </c>
      <c r="C66" s="326"/>
      <c r="D66" s="326"/>
      <c r="E66" s="326"/>
      <c r="F66" s="326"/>
      <c r="G66" s="326"/>
      <c r="H66" s="326"/>
      <c r="I66" s="326"/>
      <c r="J66" s="326"/>
      <c r="K66" s="326"/>
      <c r="AMJ66" s="320"/>
    </row>
    <row r="67" ht="38.25" spans="2:1024">
      <c r="B67" s="328" t="s">
        <v>16</v>
      </c>
      <c r="C67" s="329" t="s">
        <v>17</v>
      </c>
      <c r="D67" s="330"/>
      <c r="E67" s="328" t="s">
        <v>18</v>
      </c>
      <c r="F67" s="328" t="s">
        <v>19</v>
      </c>
      <c r="G67" s="326"/>
      <c r="H67" s="326"/>
      <c r="I67" s="326"/>
      <c r="J67" s="326"/>
      <c r="K67" s="326"/>
      <c r="AMJ67" s="320"/>
    </row>
    <row r="68" spans="2:1024">
      <c r="B68" s="331" t="s">
        <v>20</v>
      </c>
      <c r="C68" s="332">
        <v>1</v>
      </c>
      <c r="D68" s="333"/>
      <c r="E68" s="334">
        <f>ENCARREGADO!I138</f>
        <v>4237.95</v>
      </c>
      <c r="F68" s="334">
        <f>ROUNDUP(E68/(30*100000),2)</f>
        <v>0.01</v>
      </c>
      <c r="G68" s="326"/>
      <c r="H68" s="344"/>
      <c r="I68" s="326"/>
      <c r="J68" s="326"/>
      <c r="K68" s="326"/>
      <c r="AMJ68" s="320"/>
    </row>
    <row r="69" spans="2:1024">
      <c r="B69" s="335"/>
      <c r="C69" s="332" t="s">
        <v>42</v>
      </c>
      <c r="D69" s="333"/>
      <c r="E69" s="336"/>
      <c r="F69" s="336"/>
      <c r="G69" s="326"/>
      <c r="H69" s="344"/>
      <c r="I69" s="326"/>
      <c r="J69" s="326"/>
      <c r="K69" s="326"/>
      <c r="AMJ69" s="320"/>
    </row>
    <row r="70" spans="2:1024">
      <c r="B70" s="337" t="s">
        <v>22</v>
      </c>
      <c r="C70" s="338">
        <v>100000</v>
      </c>
      <c r="D70" s="338">
        <f>1/100000</f>
        <v>1e-5</v>
      </c>
      <c r="E70" s="339" t="e">
        <f>#REF!</f>
        <v>#REF!</v>
      </c>
      <c r="F70" s="340" t="e">
        <f>ROUND(D70*E70,2)</f>
        <v>#REF!</v>
      </c>
      <c r="G70" s="326"/>
      <c r="H70" s="344"/>
      <c r="I70" s="326"/>
      <c r="J70" s="326"/>
      <c r="K70" s="326"/>
      <c r="AMJ70" s="320"/>
    </row>
    <row r="71" spans="2:1024">
      <c r="B71" s="326"/>
      <c r="C71" s="326"/>
      <c r="D71" s="326"/>
      <c r="E71" s="326"/>
      <c r="F71" s="326"/>
      <c r="G71" s="326"/>
      <c r="H71" s="344"/>
      <c r="I71" s="326"/>
      <c r="J71" s="326"/>
      <c r="K71" s="326"/>
      <c r="AMJ71" s="320"/>
    </row>
    <row r="72" spans="2:10">
      <c r="B72" s="345"/>
      <c r="C72" s="345"/>
      <c r="D72" s="345"/>
      <c r="E72" s="345"/>
      <c r="F72" s="345"/>
      <c r="G72" s="345"/>
      <c r="H72" s="346"/>
      <c r="I72" s="326"/>
      <c r="J72" s="326"/>
    </row>
    <row r="73" ht="15" customHeight="1" spans="1:10">
      <c r="A73" s="347" t="s">
        <v>43</v>
      </c>
      <c r="B73" s="347"/>
      <c r="C73" s="348"/>
      <c r="D73" s="348"/>
      <c r="E73" s="348"/>
      <c r="F73" s="348"/>
      <c r="G73" s="348"/>
      <c r="H73" s="326"/>
      <c r="I73" s="344"/>
      <c r="J73" s="326"/>
    </row>
    <row r="74" spans="9:9">
      <c r="I74" s="416"/>
    </row>
    <row r="75" ht="38.25" spans="2:1023">
      <c r="B75" s="328" t="s">
        <v>44</v>
      </c>
      <c r="C75" s="329" t="s">
        <v>16</v>
      </c>
      <c r="D75" s="330"/>
      <c r="E75" s="328" t="s">
        <v>45</v>
      </c>
      <c r="F75" s="328" t="s">
        <v>46</v>
      </c>
      <c r="G75" s="328" t="s">
        <v>47</v>
      </c>
      <c r="AMH75" s="321"/>
      <c r="AMI75" s="321"/>
    </row>
    <row r="76" customHeight="1" spans="2:1023">
      <c r="B76" s="349" t="s">
        <v>15</v>
      </c>
      <c r="C76" s="332" t="s">
        <v>48</v>
      </c>
      <c r="D76" s="350"/>
      <c r="E76" s="351">
        <f>F8</f>
        <v>0.12</v>
      </c>
      <c r="F76" s="352">
        <f>F116</f>
        <v>18498.43</v>
      </c>
      <c r="G76" s="353">
        <f>ROUND(E76*F76,2)</f>
        <v>2219.81</v>
      </c>
      <c r="AMH76" s="321"/>
      <c r="AMI76" s="321"/>
    </row>
    <row r="77" ht="15" customHeight="1" spans="2:1023">
      <c r="B77" s="354"/>
      <c r="C77" s="355" t="s">
        <v>49</v>
      </c>
      <c r="D77" s="356"/>
      <c r="E77" s="357" t="e">
        <f>F10</f>
        <v>#REF!</v>
      </c>
      <c r="F77" s="352">
        <f>F116</f>
        <v>18498.43</v>
      </c>
      <c r="G77" s="353" t="e">
        <f>ROUND(E77*F77,2)</f>
        <v>#REF!</v>
      </c>
      <c r="AMH77" s="321"/>
      <c r="AMI77" s="321"/>
    </row>
    <row r="78" ht="12" customHeight="1" spans="2:1023">
      <c r="B78" s="358"/>
      <c r="C78" s="359"/>
      <c r="D78" s="360"/>
      <c r="E78" s="361"/>
      <c r="F78" s="358"/>
      <c r="G78" s="362"/>
      <c r="AMH78" s="321"/>
      <c r="AMI78" s="321"/>
    </row>
    <row r="79" ht="15" customHeight="1" spans="2:1023">
      <c r="B79" s="349" t="s">
        <v>50</v>
      </c>
      <c r="C79" s="355" t="s">
        <v>48</v>
      </c>
      <c r="D79" s="356"/>
      <c r="E79" s="357">
        <f>F14</f>
        <v>0.31</v>
      </c>
      <c r="F79" s="352">
        <f>F148</f>
        <v>2733.58</v>
      </c>
      <c r="G79" s="353">
        <f>ROUND(E79*F79,2)</f>
        <v>847.41</v>
      </c>
      <c r="AMH79" s="321"/>
      <c r="AMI79" s="321"/>
    </row>
    <row r="80" ht="25.5" customHeight="1" spans="2:1023">
      <c r="B80" s="354"/>
      <c r="C80" s="332" t="s">
        <v>49</v>
      </c>
      <c r="D80" s="333"/>
      <c r="E80" s="357" t="e">
        <f>F16</f>
        <v>#REF!</v>
      </c>
      <c r="F80" s="352">
        <f>F148</f>
        <v>2733.58</v>
      </c>
      <c r="G80" s="353" t="e">
        <f>ROUND(E80*F80,2)</f>
        <v>#REF!</v>
      </c>
      <c r="J80" s="417"/>
      <c r="K80" s="417"/>
      <c r="AMH80" s="321"/>
      <c r="AMI80" s="321"/>
    </row>
    <row r="81" ht="12.75" customHeight="1" spans="2:1023">
      <c r="B81" s="358"/>
      <c r="C81" s="363"/>
      <c r="D81" s="364"/>
      <c r="E81" s="361"/>
      <c r="F81" s="358"/>
      <c r="G81" s="362"/>
      <c r="J81" s="417"/>
      <c r="K81" s="417"/>
      <c r="AMH81" s="321"/>
      <c r="AMI81" s="321"/>
    </row>
    <row r="82" ht="16.5" customHeight="1" spans="2:1023">
      <c r="B82" s="365" t="s">
        <v>26</v>
      </c>
      <c r="C82" s="332" t="s">
        <v>48</v>
      </c>
      <c r="D82" s="333"/>
      <c r="E82" s="357">
        <f>F20</f>
        <v>0.09</v>
      </c>
      <c r="F82" s="366">
        <v>2379.14</v>
      </c>
      <c r="G82" s="353">
        <f>ROUND(E82*F82,2)</f>
        <v>214.12</v>
      </c>
      <c r="J82" s="417"/>
      <c r="K82" s="417"/>
      <c r="AMH82" s="321"/>
      <c r="AMI82" s="321"/>
    </row>
    <row r="83" spans="2:1023">
      <c r="B83" s="367"/>
      <c r="C83" s="332" t="s">
        <v>49</v>
      </c>
      <c r="D83" s="333"/>
      <c r="E83" s="357" t="e">
        <f>F22</f>
        <v>#REF!</v>
      </c>
      <c r="F83" s="366">
        <v>2379.14</v>
      </c>
      <c r="G83" s="353" t="e">
        <f>ROUND(E83*F83,2)</f>
        <v>#REF!</v>
      </c>
      <c r="J83" s="418"/>
      <c r="K83" s="417"/>
      <c r="AMH83" s="321"/>
      <c r="AMI83" s="321"/>
    </row>
    <row r="84" ht="11.25" customHeight="1" spans="2:1023">
      <c r="B84" s="368"/>
      <c r="C84" s="363"/>
      <c r="D84" s="364"/>
      <c r="E84" s="361"/>
      <c r="F84" s="368"/>
      <c r="G84" s="362"/>
      <c r="J84" s="418"/>
      <c r="K84" s="417"/>
      <c r="AMH84" s="321"/>
      <c r="AMI84" s="321"/>
    </row>
    <row r="85" customHeight="1" spans="2:1023">
      <c r="B85" s="369" t="s">
        <v>51</v>
      </c>
      <c r="C85" s="332" t="s">
        <v>48</v>
      </c>
      <c r="D85" s="333"/>
      <c r="E85" s="357">
        <f>F26</f>
        <v>0.09</v>
      </c>
      <c r="F85" s="370">
        <f>F184</f>
        <v>69.51</v>
      </c>
      <c r="G85" s="353">
        <f>ROUND(E85*F85,2)</f>
        <v>6.26</v>
      </c>
      <c r="J85" s="418"/>
      <c r="K85" s="417"/>
      <c r="AMH85" s="321"/>
      <c r="AMI85" s="321"/>
    </row>
    <row r="86" ht="28.5" customHeight="1" spans="2:1023">
      <c r="B86" s="371"/>
      <c r="C86" s="332" t="s">
        <v>49</v>
      </c>
      <c r="D86" s="333"/>
      <c r="E86" s="357" t="e">
        <f>F28</f>
        <v>#REF!</v>
      </c>
      <c r="F86" s="370">
        <f>F184</f>
        <v>69.51</v>
      </c>
      <c r="G86" s="353" t="e">
        <f>ROUND(E86*F86,2)</f>
        <v>#REF!</v>
      </c>
      <c r="J86" s="418"/>
      <c r="K86" s="417"/>
      <c r="AMH86" s="321"/>
      <c r="AMI86" s="321"/>
    </row>
    <row r="87" ht="12" customHeight="1" spans="2:1023">
      <c r="B87" s="372"/>
      <c r="C87" s="363"/>
      <c r="D87" s="364"/>
      <c r="E87" s="361"/>
      <c r="F87" s="372"/>
      <c r="G87" s="362"/>
      <c r="J87" s="418"/>
      <c r="K87" s="417"/>
      <c r="AMH87" s="321"/>
      <c r="AMI87" s="321"/>
    </row>
    <row r="88" ht="21" customHeight="1" spans="2:1023">
      <c r="B88" s="365" t="s">
        <v>52</v>
      </c>
      <c r="C88" s="332" t="s">
        <v>48</v>
      </c>
      <c r="D88" s="333"/>
      <c r="E88" s="357">
        <f>F32</f>
        <v>0.09</v>
      </c>
      <c r="F88" s="366">
        <f>F196</f>
        <v>5131.99</v>
      </c>
      <c r="G88" s="353">
        <f>ROUND(E88*F88,2)</f>
        <v>461.88</v>
      </c>
      <c r="J88" s="418"/>
      <c r="K88" s="417"/>
      <c r="AMH88" s="321"/>
      <c r="AMI88" s="321"/>
    </row>
    <row r="89" ht="25.5" customHeight="1" spans="2:1023">
      <c r="B89" s="367"/>
      <c r="C89" s="332" t="s">
        <v>49</v>
      </c>
      <c r="D89" s="333"/>
      <c r="E89" s="357" t="e">
        <f>F34</f>
        <v>#REF!</v>
      </c>
      <c r="F89" s="366">
        <f>F196</f>
        <v>5131.99</v>
      </c>
      <c r="G89" s="353" t="e">
        <f>ROUND(E89*F89,2)</f>
        <v>#REF!</v>
      </c>
      <c r="J89" s="418"/>
      <c r="K89" s="417"/>
      <c r="AMH89" s="321"/>
      <c r="AMI89" s="321"/>
    </row>
    <row r="90" ht="12.75" customHeight="1" spans="2:1023">
      <c r="B90" s="368"/>
      <c r="C90" s="363"/>
      <c r="D90" s="364"/>
      <c r="E90" s="361"/>
      <c r="F90" s="368"/>
      <c r="G90" s="362"/>
      <c r="J90" s="418"/>
      <c r="K90" s="417"/>
      <c r="AMH90" s="321"/>
      <c r="AMI90" s="321"/>
    </row>
    <row r="91" ht="25.5" customHeight="1" spans="2:1023">
      <c r="B91" s="365" t="s">
        <v>53</v>
      </c>
      <c r="C91" s="332" t="s">
        <v>48</v>
      </c>
      <c r="D91" s="333"/>
      <c r="E91" s="357">
        <f>F38</f>
        <v>0.71</v>
      </c>
      <c r="F91" s="366">
        <f>F212</f>
        <v>1153.16</v>
      </c>
      <c r="G91" s="353">
        <f>ROUND(E91*F91,2)</f>
        <v>818.74</v>
      </c>
      <c r="J91" s="418"/>
      <c r="K91" s="417"/>
      <c r="AMH91" s="321"/>
      <c r="AMI91" s="321"/>
    </row>
    <row r="92" ht="25.5" customHeight="1" spans="2:1023">
      <c r="B92" s="367"/>
      <c r="C92" s="332" t="s">
        <v>49</v>
      </c>
      <c r="D92" s="333"/>
      <c r="E92" s="357" t="e">
        <f>F40</f>
        <v>#REF!</v>
      </c>
      <c r="F92" s="366">
        <f>F212</f>
        <v>1153.16</v>
      </c>
      <c r="G92" s="353" t="e">
        <f>ROUND(E92*F92,2)</f>
        <v>#REF!</v>
      </c>
      <c r="J92" s="418"/>
      <c r="K92" s="417"/>
      <c r="AMH92" s="321"/>
      <c r="AMI92" s="321"/>
    </row>
    <row r="93" ht="11.25" customHeight="1" spans="2:1023">
      <c r="B93" s="372"/>
      <c r="C93" s="363"/>
      <c r="D93" s="364"/>
      <c r="E93" s="361"/>
      <c r="F93" s="372"/>
      <c r="G93" s="362"/>
      <c r="J93" s="418"/>
      <c r="K93" s="417"/>
      <c r="AMH93" s="321"/>
      <c r="AMI93" s="321"/>
    </row>
    <row r="94" ht="25.5" customHeight="1" spans="2:1023">
      <c r="B94" s="365" t="s">
        <v>54</v>
      </c>
      <c r="C94" s="373" t="s">
        <v>48</v>
      </c>
      <c r="D94" s="374"/>
      <c r="E94" s="375">
        <f>F44</f>
        <v>0.05</v>
      </c>
      <c r="F94" s="376">
        <f>F240</f>
        <v>4505.65</v>
      </c>
      <c r="G94" s="377">
        <f>ROUND(E94*F94,2)</f>
        <v>225.28</v>
      </c>
      <c r="J94" s="418"/>
      <c r="K94" s="417"/>
      <c r="AMH94" s="321"/>
      <c r="AMI94" s="321"/>
    </row>
    <row r="95" spans="2:1023">
      <c r="B95" s="367"/>
      <c r="C95" s="378" t="s">
        <v>49</v>
      </c>
      <c r="D95" s="379"/>
      <c r="E95" s="375" t="e">
        <f>F46</f>
        <v>#REF!</v>
      </c>
      <c r="F95" s="376">
        <f>F240</f>
        <v>4505.65</v>
      </c>
      <c r="G95" s="377" t="e">
        <f>ROUND(E95*F95,2)</f>
        <v>#REF!</v>
      </c>
      <c r="J95" s="418"/>
      <c r="K95" s="417"/>
      <c r="AMH95" s="321"/>
      <c r="AMI95" s="321"/>
    </row>
    <row r="96" ht="11.25" customHeight="1" spans="2:1023">
      <c r="B96" s="372"/>
      <c r="C96" s="359"/>
      <c r="D96" s="360"/>
      <c r="E96" s="361"/>
      <c r="F96" s="372"/>
      <c r="G96" s="362"/>
      <c r="J96" s="418"/>
      <c r="K96" s="417"/>
      <c r="AMH96" s="321"/>
      <c r="AMI96" s="321"/>
    </row>
    <row r="97" customHeight="1" spans="2:1023">
      <c r="B97" s="365" t="s">
        <v>55</v>
      </c>
      <c r="C97" s="355" t="s">
        <v>48</v>
      </c>
      <c r="D97" s="356"/>
      <c r="E97" s="357">
        <f>F50</f>
        <v>0.02</v>
      </c>
      <c r="F97" s="366">
        <f>F265</f>
        <v>7719.34</v>
      </c>
      <c r="G97" s="353">
        <f>ROUND(E97*F97,2)</f>
        <v>154.39</v>
      </c>
      <c r="J97" s="418"/>
      <c r="K97" s="417"/>
      <c r="AMH97" s="321"/>
      <c r="AMI97" s="321"/>
    </row>
    <row r="98" ht="25.5" customHeight="1" spans="2:1023">
      <c r="B98" s="367"/>
      <c r="C98" s="332" t="s">
        <v>49</v>
      </c>
      <c r="D98" s="333"/>
      <c r="E98" s="357" t="e">
        <f>F52</f>
        <v>#REF!</v>
      </c>
      <c r="F98" s="366">
        <f>F265</f>
        <v>7719.34</v>
      </c>
      <c r="G98" s="353" t="e">
        <f>ROUND(E98*F98,2)</f>
        <v>#REF!</v>
      </c>
      <c r="J98" s="418"/>
      <c r="K98" s="417"/>
      <c r="AMH98" s="321"/>
      <c r="AMI98" s="321"/>
    </row>
    <row r="99" ht="11.25" customHeight="1" spans="2:1023">
      <c r="B99" s="372"/>
      <c r="C99" s="363"/>
      <c r="D99" s="364"/>
      <c r="E99" s="361"/>
      <c r="F99" s="372"/>
      <c r="G99" s="362"/>
      <c r="J99" s="418"/>
      <c r="K99" s="417"/>
      <c r="AMH99" s="321"/>
      <c r="AMI99" s="321"/>
    </row>
    <row r="100" ht="25.5" customHeight="1" spans="2:1023">
      <c r="B100" s="365" t="s">
        <v>38</v>
      </c>
      <c r="C100" s="332" t="s">
        <v>48</v>
      </c>
      <c r="D100" s="333"/>
      <c r="E100" s="357">
        <f>F56</f>
        <v>0.08</v>
      </c>
      <c r="F100" s="366">
        <f>F275</f>
        <v>3586.64</v>
      </c>
      <c r="G100" s="353">
        <f>ROUND(E100*F100,2)</f>
        <v>286.93</v>
      </c>
      <c r="J100" s="418"/>
      <c r="K100" s="417"/>
      <c r="AMH100" s="321"/>
      <c r="AMI100" s="321"/>
    </row>
    <row r="101" ht="25.5" customHeight="1" spans="2:1023">
      <c r="B101" s="367"/>
      <c r="C101" s="332" t="s">
        <v>49</v>
      </c>
      <c r="D101" s="333"/>
      <c r="E101" s="357" t="e">
        <f>F58</f>
        <v>#REF!</v>
      </c>
      <c r="F101" s="366">
        <f>F275</f>
        <v>3586.64</v>
      </c>
      <c r="G101" s="353" t="e">
        <f>ROUND(E101*F101,2)</f>
        <v>#REF!</v>
      </c>
      <c r="J101" s="418"/>
      <c r="K101" s="417"/>
      <c r="AMH101" s="321"/>
      <c r="AMI101" s="321"/>
    </row>
    <row r="102" ht="12" customHeight="1" spans="2:1023">
      <c r="B102" s="372"/>
      <c r="C102" s="363"/>
      <c r="D102" s="364"/>
      <c r="E102" s="361"/>
      <c r="F102" s="372"/>
      <c r="G102" s="362"/>
      <c r="J102" s="418"/>
      <c r="K102" s="417"/>
      <c r="AMH102" s="321"/>
      <c r="AMI102" s="321"/>
    </row>
    <row r="103" ht="25.5" customHeight="1" spans="2:1023">
      <c r="B103" s="365" t="s">
        <v>56</v>
      </c>
      <c r="C103" s="332" t="s">
        <v>48</v>
      </c>
      <c r="D103" s="333"/>
      <c r="E103" s="357">
        <f>F62</f>
        <v>0.05</v>
      </c>
      <c r="F103" s="366">
        <f>F291</f>
        <v>2332.19</v>
      </c>
      <c r="G103" s="353">
        <f>ROUND(E103*F103,2)</f>
        <v>116.61</v>
      </c>
      <c r="J103" s="418"/>
      <c r="K103" s="417"/>
      <c r="AMH103" s="321"/>
      <c r="AMI103" s="321"/>
    </row>
    <row r="104" ht="25.5" customHeight="1" spans="2:1023">
      <c r="B104" s="367"/>
      <c r="C104" s="332" t="s">
        <v>49</v>
      </c>
      <c r="D104" s="333"/>
      <c r="E104" s="357" t="e">
        <f>F64</f>
        <v>#REF!</v>
      </c>
      <c r="F104" s="366">
        <f>F291</f>
        <v>2332.19</v>
      </c>
      <c r="G104" s="353" t="e">
        <f>ROUND(E104*F104,2)</f>
        <v>#REF!</v>
      </c>
      <c r="J104" s="418"/>
      <c r="K104" s="417"/>
      <c r="AMH104" s="321"/>
      <c r="AMI104" s="321"/>
    </row>
    <row r="105" ht="12" customHeight="1" spans="2:1023">
      <c r="B105" s="372"/>
      <c r="C105" s="363"/>
      <c r="D105" s="364"/>
      <c r="E105" s="361"/>
      <c r="F105" s="372"/>
      <c r="G105" s="362"/>
      <c r="J105" s="418"/>
      <c r="K105" s="417"/>
      <c r="AMH105" s="321"/>
      <c r="AMI105" s="321"/>
    </row>
    <row r="106" ht="19.5" customHeight="1" spans="2:1023">
      <c r="B106" s="365" t="s">
        <v>41</v>
      </c>
      <c r="C106" s="332" t="s">
        <v>48</v>
      </c>
      <c r="D106" s="333"/>
      <c r="E106" s="357">
        <f>F68</f>
        <v>0.01</v>
      </c>
      <c r="F106" s="366">
        <f>F315</f>
        <v>7601</v>
      </c>
      <c r="G106" s="353">
        <f>ROUND(E106*F106,2)</f>
        <v>76.01</v>
      </c>
      <c r="J106" s="418"/>
      <c r="K106" s="417"/>
      <c r="AMH106" s="321"/>
      <c r="AMI106" s="321"/>
    </row>
    <row r="107" spans="2:1023">
      <c r="B107" s="367"/>
      <c r="C107" s="332" t="s">
        <v>49</v>
      </c>
      <c r="D107" s="333"/>
      <c r="E107" s="357" t="e">
        <f>F70</f>
        <v>#REF!</v>
      </c>
      <c r="F107" s="366">
        <f>F315</f>
        <v>7601</v>
      </c>
      <c r="G107" s="353" t="e">
        <f>ROUND(E107*F107,2)</f>
        <v>#REF!</v>
      </c>
      <c r="J107" s="418"/>
      <c r="K107" s="417"/>
      <c r="AMH107" s="321"/>
      <c r="AMI107" s="321"/>
    </row>
    <row r="108" spans="2:1023">
      <c r="B108" s="372"/>
      <c r="C108" s="380"/>
      <c r="D108" s="381"/>
      <c r="E108" s="381"/>
      <c r="F108" s="382"/>
      <c r="G108" s="383"/>
      <c r="H108" s="384"/>
      <c r="K108" s="417"/>
      <c r="AMH108" s="321"/>
      <c r="AMI108" s="321"/>
    </row>
    <row r="109" ht="15" spans="2:9">
      <c r="B109" s="365"/>
      <c r="C109" s="385" t="s">
        <v>10</v>
      </c>
      <c r="D109" s="385"/>
      <c r="E109" s="385"/>
      <c r="F109" s="385"/>
      <c r="G109" s="386" t="e">
        <f>SUM(G76:G107)</f>
        <v>#REF!</v>
      </c>
      <c r="H109" s="387"/>
      <c r="I109" s="320" t="s">
        <v>33</v>
      </c>
    </row>
    <row r="110" ht="15" spans="2:8">
      <c r="B110" s="367"/>
      <c r="C110" s="385" t="s">
        <v>11</v>
      </c>
      <c r="D110" s="385"/>
      <c r="E110" s="385"/>
      <c r="F110" s="385"/>
      <c r="G110" s="386" t="e">
        <f>G109*12</f>
        <v>#REF!</v>
      </c>
      <c r="H110" s="388"/>
    </row>
    <row r="112" spans="1:7">
      <c r="A112" s="324" t="s">
        <v>57</v>
      </c>
      <c r="B112" s="324"/>
      <c r="C112" s="324"/>
      <c r="D112" s="324"/>
      <c r="E112" s="324"/>
      <c r="F112" s="324"/>
      <c r="G112" s="324"/>
    </row>
    <row r="113" spans="1:2">
      <c r="A113" s="322"/>
      <c r="B113" s="322"/>
    </row>
    <row r="114" ht="38.25" spans="1:7">
      <c r="A114" s="389" t="s">
        <v>1</v>
      </c>
      <c r="B114" s="390" t="s">
        <v>58</v>
      </c>
      <c r="C114" s="391" t="s">
        <v>59</v>
      </c>
      <c r="D114" s="391" t="s">
        <v>60</v>
      </c>
      <c r="E114" s="391" t="s">
        <v>61</v>
      </c>
      <c r="F114" s="391" t="s">
        <v>62</v>
      </c>
      <c r="G114" s="392" t="s">
        <v>63</v>
      </c>
    </row>
    <row r="115" spans="1:7">
      <c r="A115" s="393" t="s">
        <v>64</v>
      </c>
      <c r="B115" s="390" t="s">
        <v>65</v>
      </c>
      <c r="C115" s="394">
        <f t="shared" ref="C115:F115" si="0">SUM(C116,C148,C168,C184,C196,C212)</f>
        <v>32444.95</v>
      </c>
      <c r="D115" s="394">
        <f t="shared" si="0"/>
        <v>1621</v>
      </c>
      <c r="E115" s="394">
        <f t="shared" si="0"/>
        <v>520974.76</v>
      </c>
      <c r="F115" s="394">
        <f t="shared" si="0"/>
        <v>29965.79</v>
      </c>
      <c r="G115" s="395">
        <f>ROUNDDOWN(SUM(G116,G148,G168,G184,G196,G212),0)</f>
        <v>31</v>
      </c>
    </row>
    <row r="116" ht="38.25" spans="1:8">
      <c r="A116" s="396" t="s">
        <v>66</v>
      </c>
      <c r="B116" s="397" t="s">
        <v>67</v>
      </c>
      <c r="C116" s="398">
        <f t="shared" ref="C116:E116" si="1">SUM(C117,C128,C133,C137,C140)</f>
        <v>8274.2</v>
      </c>
      <c r="D116" s="398">
        <f t="shared" si="1"/>
        <v>902</v>
      </c>
      <c r="E116" s="398">
        <f t="shared" si="1"/>
        <v>406965.46</v>
      </c>
      <c r="F116" s="398">
        <f>ROUND(F117+F128+F133+F137+F140,2)</f>
        <v>18498.43</v>
      </c>
      <c r="G116" s="399">
        <f>SUM(G117,G128,G133,G140)</f>
        <v>15.3855916666667</v>
      </c>
      <c r="H116" s="400"/>
    </row>
    <row r="117" spans="1:7">
      <c r="A117" s="401" t="s">
        <v>68</v>
      </c>
      <c r="B117" s="402"/>
      <c r="C117" s="403">
        <f t="shared" ref="C117:F117" si="2">SUM(C118:C127)</f>
        <v>4317.7</v>
      </c>
      <c r="D117" s="403">
        <f t="shared" si="2"/>
        <v>506</v>
      </c>
      <c r="E117" s="403">
        <f t="shared" si="2"/>
        <v>257387.24</v>
      </c>
      <c r="F117" s="403">
        <f t="shared" si="2"/>
        <v>11699.42</v>
      </c>
      <c r="G117" s="404">
        <f>SUM(G118:G126)</f>
        <v>9.74641666666667</v>
      </c>
    </row>
    <row r="118" spans="1:7">
      <c r="A118" s="405" t="s">
        <v>69</v>
      </c>
      <c r="B118" s="406" t="s">
        <v>70</v>
      </c>
      <c r="C118" s="407">
        <v>589.24</v>
      </c>
      <c r="D118" s="408">
        <v>66</v>
      </c>
      <c r="E118" s="408">
        <f t="shared" ref="E118:E126" si="3">D118*C118</f>
        <v>38889.84</v>
      </c>
      <c r="F118" s="408">
        <f>E118/22</f>
        <v>1767.72</v>
      </c>
      <c r="G118" s="409">
        <f>ROUND(F118/1200,2)</f>
        <v>1.47</v>
      </c>
    </row>
    <row r="119" spans="1:7">
      <c r="A119" s="405" t="s">
        <v>71</v>
      </c>
      <c r="B119" s="406" t="s">
        <v>72</v>
      </c>
      <c r="C119" s="407">
        <v>798.21</v>
      </c>
      <c r="D119" s="408">
        <v>66</v>
      </c>
      <c r="E119" s="408">
        <f t="shared" si="3"/>
        <v>52681.86</v>
      </c>
      <c r="F119" s="408">
        <f t="shared" ref="F119:F126" si="4">E119/22</f>
        <v>2394.63</v>
      </c>
      <c r="G119" s="409">
        <f t="shared" ref="G119:G126" si="5">F119/1200</f>
        <v>1.995525</v>
      </c>
    </row>
    <row r="120" spans="1:7">
      <c r="A120" s="405" t="s">
        <v>73</v>
      </c>
      <c r="B120" s="406" t="s">
        <v>74</v>
      </c>
      <c r="C120" s="407">
        <v>1048.09</v>
      </c>
      <c r="D120" s="408">
        <v>66</v>
      </c>
      <c r="E120" s="408">
        <f t="shared" si="3"/>
        <v>69173.94</v>
      </c>
      <c r="F120" s="408">
        <f t="shared" si="4"/>
        <v>3144.27</v>
      </c>
      <c r="G120" s="409">
        <f t="shared" si="5"/>
        <v>2.620225</v>
      </c>
    </row>
    <row r="121" spans="1:7">
      <c r="A121" s="405" t="s">
        <v>75</v>
      </c>
      <c r="B121" s="406" t="s">
        <v>76</v>
      </c>
      <c r="C121" s="407">
        <v>61.62</v>
      </c>
      <c r="D121" s="408">
        <v>66</v>
      </c>
      <c r="E121" s="408">
        <f t="shared" si="3"/>
        <v>4066.92</v>
      </c>
      <c r="F121" s="408">
        <f t="shared" si="4"/>
        <v>184.86</v>
      </c>
      <c r="G121" s="409">
        <f t="shared" si="5"/>
        <v>0.15405</v>
      </c>
    </row>
    <row r="122" spans="1:7">
      <c r="A122" s="405" t="s">
        <v>77</v>
      </c>
      <c r="B122" s="406" t="s">
        <v>78</v>
      </c>
      <c r="C122" s="407">
        <v>495.07</v>
      </c>
      <c r="D122" s="408">
        <v>66</v>
      </c>
      <c r="E122" s="408">
        <f t="shared" si="3"/>
        <v>32674.62</v>
      </c>
      <c r="F122" s="408">
        <f t="shared" si="4"/>
        <v>1485.21</v>
      </c>
      <c r="G122" s="409">
        <f t="shared" si="5"/>
        <v>1.237675</v>
      </c>
    </row>
    <row r="123" ht="25.5" spans="1:7">
      <c r="A123" s="405" t="s">
        <v>79</v>
      </c>
      <c r="B123" s="406" t="s">
        <v>80</v>
      </c>
      <c r="C123" s="407">
        <v>426.24</v>
      </c>
      <c r="D123" s="408">
        <v>66</v>
      </c>
      <c r="E123" s="408">
        <f t="shared" si="3"/>
        <v>28131.84</v>
      </c>
      <c r="F123" s="408">
        <f t="shared" si="4"/>
        <v>1278.72</v>
      </c>
      <c r="G123" s="409">
        <f t="shared" si="5"/>
        <v>1.0656</v>
      </c>
    </row>
    <row r="124" spans="1:7">
      <c r="A124" s="405" t="s">
        <v>73</v>
      </c>
      <c r="B124" s="406" t="s">
        <v>81</v>
      </c>
      <c r="C124" s="407">
        <v>354.45</v>
      </c>
      <c r="D124" s="408">
        <v>22</v>
      </c>
      <c r="E124" s="408">
        <f t="shared" si="3"/>
        <v>7797.9</v>
      </c>
      <c r="F124" s="408">
        <f t="shared" si="4"/>
        <v>354.45</v>
      </c>
      <c r="G124" s="409">
        <f t="shared" si="5"/>
        <v>0.295375</v>
      </c>
    </row>
    <row r="125" spans="1:7">
      <c r="A125" s="405" t="s">
        <v>75</v>
      </c>
      <c r="B125" s="406" t="s">
        <v>82</v>
      </c>
      <c r="C125" s="407">
        <v>247.5</v>
      </c>
      <c r="D125" s="408">
        <v>44</v>
      </c>
      <c r="E125" s="408">
        <f t="shared" si="3"/>
        <v>10890</v>
      </c>
      <c r="F125" s="408">
        <f t="shared" si="4"/>
        <v>495</v>
      </c>
      <c r="G125" s="409">
        <f t="shared" si="5"/>
        <v>0.4125</v>
      </c>
    </row>
    <row r="126" spans="1:7">
      <c r="A126" s="405" t="s">
        <v>77</v>
      </c>
      <c r="B126" s="406" t="s">
        <v>83</v>
      </c>
      <c r="C126" s="407">
        <v>297.28</v>
      </c>
      <c r="D126" s="408">
        <v>44</v>
      </c>
      <c r="E126" s="408">
        <f t="shared" si="3"/>
        <v>13080.32</v>
      </c>
      <c r="F126" s="408">
        <f t="shared" si="4"/>
        <v>594.56</v>
      </c>
      <c r="G126" s="409">
        <f t="shared" si="5"/>
        <v>0.495466666666667</v>
      </c>
    </row>
    <row r="127" spans="1:7">
      <c r="A127" s="410"/>
      <c r="B127" s="411"/>
      <c r="C127" s="412"/>
      <c r="D127" s="413"/>
      <c r="E127" s="413"/>
      <c r="F127" s="413"/>
      <c r="G127" s="414"/>
    </row>
    <row r="128" spans="1:7">
      <c r="A128" s="401" t="s">
        <v>84</v>
      </c>
      <c r="B128" s="402"/>
      <c r="C128" s="403">
        <f t="shared" ref="C128:F128" si="6">SUM(C129:C132)</f>
        <v>2493.18</v>
      </c>
      <c r="D128" s="403">
        <f t="shared" si="6"/>
        <v>88</v>
      </c>
      <c r="E128" s="403">
        <f t="shared" si="6"/>
        <v>86534.58</v>
      </c>
      <c r="F128" s="403">
        <f t="shared" si="6"/>
        <v>3933.39</v>
      </c>
      <c r="G128" s="415">
        <f>SUM(G129:G131)</f>
        <v>3.277825</v>
      </c>
    </row>
    <row r="129" spans="1:7">
      <c r="A129" s="405" t="s">
        <v>85</v>
      </c>
      <c r="B129" s="406" t="s">
        <v>86</v>
      </c>
      <c r="C129" s="407">
        <v>1440.21</v>
      </c>
      <c r="D129" s="419">
        <v>44</v>
      </c>
      <c r="E129" s="419">
        <f t="shared" ref="E129:E131" si="7">D129*C129</f>
        <v>63369.24</v>
      </c>
      <c r="F129" s="419">
        <f>E129/22</f>
        <v>2880.42</v>
      </c>
      <c r="G129" s="420">
        <f t="shared" ref="G129:G131" si="8">F129/1200</f>
        <v>2.40035</v>
      </c>
    </row>
    <row r="130" spans="1:7">
      <c r="A130" s="405" t="s">
        <v>87</v>
      </c>
      <c r="B130" s="406" t="s">
        <v>88</v>
      </c>
      <c r="C130" s="407">
        <v>824.53</v>
      </c>
      <c r="D130" s="419">
        <v>22</v>
      </c>
      <c r="E130" s="419">
        <f t="shared" si="7"/>
        <v>18139.66</v>
      </c>
      <c r="F130" s="419">
        <f>E130/22</f>
        <v>824.53</v>
      </c>
      <c r="G130" s="420">
        <f t="shared" si="8"/>
        <v>0.687108333333333</v>
      </c>
    </row>
    <row r="131" spans="1:7">
      <c r="A131" s="405" t="s">
        <v>89</v>
      </c>
      <c r="B131" s="406" t="s">
        <v>81</v>
      </c>
      <c r="C131" s="407">
        <v>228.44</v>
      </c>
      <c r="D131" s="419">
        <v>22</v>
      </c>
      <c r="E131" s="419">
        <f t="shared" si="7"/>
        <v>5025.68</v>
      </c>
      <c r="F131" s="419">
        <f>E131/22</f>
        <v>228.44</v>
      </c>
      <c r="G131" s="420">
        <f t="shared" si="8"/>
        <v>0.190366666666667</v>
      </c>
    </row>
    <row r="132" spans="1:7">
      <c r="A132" s="421"/>
      <c r="B132" s="422"/>
      <c r="C132" s="412"/>
      <c r="D132" s="423"/>
      <c r="E132" s="423"/>
      <c r="F132" s="423"/>
      <c r="G132" s="424"/>
    </row>
    <row r="133" spans="1:7">
      <c r="A133" s="401" t="s">
        <v>90</v>
      </c>
      <c r="B133" s="402"/>
      <c r="C133" s="403">
        <f t="shared" ref="C133:F133" si="9">SUM(C134:C135)</f>
        <v>125.21</v>
      </c>
      <c r="D133" s="403">
        <f t="shared" si="9"/>
        <v>44</v>
      </c>
      <c r="E133" s="403">
        <f t="shared" si="9"/>
        <v>2754.62</v>
      </c>
      <c r="F133" s="403">
        <f t="shared" si="9"/>
        <v>125.21</v>
      </c>
      <c r="G133" s="415">
        <f>SUM(G134,G135)</f>
        <v>0.104341666666667</v>
      </c>
    </row>
    <row r="134" spans="1:7">
      <c r="A134" s="405" t="s">
        <v>91</v>
      </c>
      <c r="B134" s="406" t="s">
        <v>92</v>
      </c>
      <c r="C134" s="407">
        <v>65.29</v>
      </c>
      <c r="D134" s="419">
        <v>22</v>
      </c>
      <c r="E134" s="419">
        <f t="shared" ref="E134:E135" si="10">D134*C134</f>
        <v>1436.38</v>
      </c>
      <c r="F134" s="419">
        <f>E134/22</f>
        <v>65.29</v>
      </c>
      <c r="G134" s="420">
        <f>F134/1200</f>
        <v>0.0544083333333333</v>
      </c>
    </row>
    <row r="135" spans="1:7">
      <c r="A135" s="405" t="s">
        <v>93</v>
      </c>
      <c r="B135" s="406" t="s">
        <v>94</v>
      </c>
      <c r="C135" s="407">
        <v>59.92</v>
      </c>
      <c r="D135" s="419">
        <v>22</v>
      </c>
      <c r="E135" s="419">
        <f t="shared" si="10"/>
        <v>1318.24</v>
      </c>
      <c r="F135" s="419">
        <f t="shared" ref="F135" si="11">E135/22</f>
        <v>59.92</v>
      </c>
      <c r="G135" s="420">
        <f t="shared" ref="G135" si="12">F135/1200</f>
        <v>0.0499333333333333</v>
      </c>
    </row>
    <row r="136" spans="1:7">
      <c r="A136" s="425"/>
      <c r="B136" s="411"/>
      <c r="C136" s="412"/>
      <c r="D136" s="423"/>
      <c r="E136" s="423"/>
      <c r="F136" s="423"/>
      <c r="G136" s="424"/>
    </row>
    <row r="137" spans="1:7">
      <c r="A137" s="401" t="s">
        <v>95</v>
      </c>
      <c r="B137" s="402"/>
      <c r="C137" s="403">
        <f t="shared" ref="C137:G137" si="13">SUM(C138)</f>
        <v>32</v>
      </c>
      <c r="D137" s="403">
        <f t="shared" si="13"/>
        <v>22</v>
      </c>
      <c r="E137" s="403">
        <f t="shared" si="13"/>
        <v>704</v>
      </c>
      <c r="F137" s="403">
        <f t="shared" si="13"/>
        <v>32</v>
      </c>
      <c r="G137" s="415">
        <f t="shared" si="13"/>
        <v>0.0266666666666667</v>
      </c>
    </row>
    <row r="138" spans="1:7">
      <c r="A138" s="405" t="s">
        <v>96</v>
      </c>
      <c r="B138" s="406" t="s">
        <v>97</v>
      </c>
      <c r="C138" s="407">
        <v>32</v>
      </c>
      <c r="D138" s="419">
        <v>22</v>
      </c>
      <c r="E138" s="419">
        <f>D138*C138</f>
        <v>704</v>
      </c>
      <c r="F138" s="419">
        <f>E138/22</f>
        <v>32</v>
      </c>
      <c r="G138" s="420">
        <f>F138/1200</f>
        <v>0.0266666666666667</v>
      </c>
    </row>
    <row r="139" spans="1:7">
      <c r="A139" s="421"/>
      <c r="B139" s="422"/>
      <c r="C139" s="412"/>
      <c r="D139" s="423"/>
      <c r="E139" s="423"/>
      <c r="F139" s="423"/>
      <c r="G139" s="424"/>
    </row>
    <row r="140" spans="1:7">
      <c r="A140" s="401" t="s">
        <v>98</v>
      </c>
      <c r="B140" s="402"/>
      <c r="C140" s="403">
        <f t="shared" ref="C140:F140" si="14">SUM(C141:C147)</f>
        <v>1306.11</v>
      </c>
      <c r="D140" s="403">
        <f t="shared" si="14"/>
        <v>242</v>
      </c>
      <c r="E140" s="403">
        <f t="shared" si="14"/>
        <v>59585.02</v>
      </c>
      <c r="F140" s="403">
        <f t="shared" si="14"/>
        <v>2708.41</v>
      </c>
      <c r="G140" s="415">
        <f>SUM(G141:G146)</f>
        <v>2.25700833333333</v>
      </c>
    </row>
    <row r="141" spans="1:7">
      <c r="A141" s="405" t="s">
        <v>99</v>
      </c>
      <c r="B141" s="406" t="s">
        <v>100</v>
      </c>
      <c r="C141" s="407">
        <v>312.89</v>
      </c>
      <c r="D141" s="408">
        <v>66</v>
      </c>
      <c r="E141" s="408">
        <f t="shared" ref="E141:E146" si="15">D141*C141</f>
        <v>20650.74</v>
      </c>
      <c r="F141" s="408">
        <f t="shared" ref="F141:F146" si="16">E141/22</f>
        <v>938.67</v>
      </c>
      <c r="G141" s="409">
        <f t="shared" ref="G141:G146" si="17">F141/1200</f>
        <v>0.782225</v>
      </c>
    </row>
    <row r="142" spans="1:7">
      <c r="A142" s="405" t="s">
        <v>101</v>
      </c>
      <c r="B142" s="406" t="s">
        <v>102</v>
      </c>
      <c r="C142" s="407">
        <v>249.7</v>
      </c>
      <c r="D142" s="408">
        <v>66</v>
      </c>
      <c r="E142" s="408">
        <f t="shared" si="15"/>
        <v>16480.2</v>
      </c>
      <c r="F142" s="408">
        <f t="shared" si="16"/>
        <v>749.1</v>
      </c>
      <c r="G142" s="409">
        <f t="shared" si="17"/>
        <v>0.62425</v>
      </c>
    </row>
    <row r="143" spans="1:7">
      <c r="A143" s="405" t="s">
        <v>103</v>
      </c>
      <c r="B143" s="406" t="s">
        <v>104</v>
      </c>
      <c r="C143" s="407">
        <v>277.12</v>
      </c>
      <c r="D143" s="408">
        <v>44</v>
      </c>
      <c r="E143" s="408">
        <f t="shared" si="15"/>
        <v>12193.28</v>
      </c>
      <c r="F143" s="408">
        <f t="shared" si="16"/>
        <v>554.24</v>
      </c>
      <c r="G143" s="409">
        <f t="shared" si="17"/>
        <v>0.461866666666667</v>
      </c>
    </row>
    <row r="144" spans="1:7">
      <c r="A144" s="405" t="s">
        <v>105</v>
      </c>
      <c r="B144" s="406" t="s">
        <v>106</v>
      </c>
      <c r="C144" s="407">
        <v>25.92</v>
      </c>
      <c r="D144" s="408">
        <v>22</v>
      </c>
      <c r="E144" s="408">
        <f t="shared" si="15"/>
        <v>570.24</v>
      </c>
      <c r="F144" s="408">
        <f t="shared" si="16"/>
        <v>25.92</v>
      </c>
      <c r="G144" s="409">
        <f t="shared" si="17"/>
        <v>0.0216</v>
      </c>
    </row>
    <row r="145" spans="1:7">
      <c r="A145" s="405" t="s">
        <v>107</v>
      </c>
      <c r="B145" s="406" t="s">
        <v>108</v>
      </c>
      <c r="C145" s="407">
        <f>2.1+4.57</f>
        <v>6.67</v>
      </c>
      <c r="D145" s="408">
        <v>22</v>
      </c>
      <c r="E145" s="408">
        <f t="shared" si="15"/>
        <v>146.74</v>
      </c>
      <c r="F145" s="408">
        <f t="shared" si="16"/>
        <v>6.67</v>
      </c>
      <c r="G145" s="409">
        <f t="shared" si="17"/>
        <v>0.00555833333333333</v>
      </c>
    </row>
    <row r="146" spans="1:7">
      <c r="A146" s="405" t="s">
        <v>109</v>
      </c>
      <c r="B146" s="406" t="s">
        <v>110</v>
      </c>
      <c r="C146" s="407">
        <v>433.81</v>
      </c>
      <c r="D146" s="408">
        <v>22</v>
      </c>
      <c r="E146" s="408">
        <f t="shared" si="15"/>
        <v>9543.82</v>
      </c>
      <c r="F146" s="408">
        <f t="shared" si="16"/>
        <v>433.81</v>
      </c>
      <c r="G146" s="409">
        <f t="shared" si="17"/>
        <v>0.361508333333333</v>
      </c>
    </row>
    <row r="147" spans="1:7">
      <c r="A147" s="410"/>
      <c r="B147" s="411"/>
      <c r="C147" s="412"/>
      <c r="D147" s="413"/>
      <c r="E147" s="413"/>
      <c r="F147" s="413"/>
      <c r="G147" s="414"/>
    </row>
    <row r="148" ht="51" spans="1:7">
      <c r="A148" s="396" t="s">
        <v>111</v>
      </c>
      <c r="B148" s="397" t="s">
        <v>112</v>
      </c>
      <c r="C148" s="398">
        <f t="shared" ref="C148:G148" si="18">SUM(C149,C154,C158,C163)</f>
        <v>2558.65</v>
      </c>
      <c r="D148" s="398">
        <f t="shared" si="18"/>
        <v>225</v>
      </c>
      <c r="E148" s="398">
        <f t="shared" si="18"/>
        <v>60138.83</v>
      </c>
      <c r="F148" s="398">
        <f>ROUND(F149+F154+F158+F163,2)</f>
        <v>2733.58</v>
      </c>
      <c r="G148" s="399">
        <f t="shared" si="18"/>
        <v>6.07462929292929</v>
      </c>
    </row>
    <row r="149" spans="1:7">
      <c r="A149" s="426"/>
      <c r="B149" s="427" t="s">
        <v>68</v>
      </c>
      <c r="C149" s="403">
        <f t="shared" ref="C149:F149" si="19">SUM(C150:C153)</f>
        <v>1657.33</v>
      </c>
      <c r="D149" s="403">
        <f t="shared" si="19"/>
        <v>45</v>
      </c>
      <c r="E149" s="403">
        <f t="shared" si="19"/>
        <v>36245.17</v>
      </c>
      <c r="F149" s="403">
        <f t="shared" si="19"/>
        <v>1647.50772727273</v>
      </c>
      <c r="G149" s="415">
        <f>SUM(G150:G152)</f>
        <v>3.66112828282828</v>
      </c>
    </row>
    <row r="150" ht="25.5" spans="1:7">
      <c r="A150" s="405" t="s">
        <v>113</v>
      </c>
      <c r="B150" s="406" t="s">
        <v>114</v>
      </c>
      <c r="C150" s="407">
        <f>1096.75+455.26</f>
        <v>1552.01</v>
      </c>
      <c r="D150" s="408">
        <v>22</v>
      </c>
      <c r="E150" s="408">
        <f t="shared" ref="E150:E152" si="20">D150*C150</f>
        <v>34144.22</v>
      </c>
      <c r="F150" s="408">
        <f t="shared" ref="F150:F152" si="21">E150/22</f>
        <v>1552.01</v>
      </c>
      <c r="G150" s="409">
        <f t="shared" ref="G150:G152" si="22">F150/450</f>
        <v>3.44891111111111</v>
      </c>
    </row>
    <row r="151" spans="1:7">
      <c r="A151" s="405" t="s">
        <v>115</v>
      </c>
      <c r="B151" s="406" t="s">
        <v>116</v>
      </c>
      <c r="C151" s="407">
        <v>95.03</v>
      </c>
      <c r="D151" s="408">
        <v>22</v>
      </c>
      <c r="E151" s="408">
        <f t="shared" si="20"/>
        <v>2090.66</v>
      </c>
      <c r="F151" s="408">
        <f t="shared" si="21"/>
        <v>95.03</v>
      </c>
      <c r="G151" s="409">
        <f t="shared" si="22"/>
        <v>0.211177777777778</v>
      </c>
    </row>
    <row r="152" spans="1:7">
      <c r="A152" s="428" t="s">
        <v>117</v>
      </c>
      <c r="B152" s="429" t="s">
        <v>118</v>
      </c>
      <c r="C152" s="430">
        <v>10.29</v>
      </c>
      <c r="D152" s="431">
        <v>1</v>
      </c>
      <c r="E152" s="431">
        <f t="shared" si="20"/>
        <v>10.29</v>
      </c>
      <c r="F152" s="431">
        <f t="shared" si="21"/>
        <v>0.467727272727273</v>
      </c>
      <c r="G152" s="432">
        <f t="shared" si="22"/>
        <v>0.00103939393939394</v>
      </c>
    </row>
    <row r="153" spans="1:7">
      <c r="A153" s="410"/>
      <c r="B153" s="411"/>
      <c r="C153" s="412"/>
      <c r="D153" s="413"/>
      <c r="E153" s="413"/>
      <c r="F153" s="413"/>
      <c r="G153" s="414"/>
    </row>
    <row r="154" spans="1:7">
      <c r="A154" s="401" t="s">
        <v>84</v>
      </c>
      <c r="B154" s="402"/>
      <c r="C154" s="403">
        <f t="shared" ref="C154:F154" si="23">SUM(C155:C157)</f>
        <v>311.9</v>
      </c>
      <c r="D154" s="403">
        <f t="shared" si="23"/>
        <v>66</v>
      </c>
      <c r="E154" s="403">
        <f t="shared" si="23"/>
        <v>13535.06</v>
      </c>
      <c r="F154" s="403">
        <f t="shared" si="23"/>
        <v>615.23</v>
      </c>
      <c r="G154" s="415">
        <f>SUM(G155:G156)</f>
        <v>1.36717777777778</v>
      </c>
    </row>
    <row r="155" spans="1:7">
      <c r="A155" s="405" t="s">
        <v>119</v>
      </c>
      <c r="B155" s="406" t="s">
        <v>120</v>
      </c>
      <c r="C155" s="407">
        <v>303.33</v>
      </c>
      <c r="D155" s="419">
        <v>44</v>
      </c>
      <c r="E155" s="419">
        <f t="shared" ref="E155:E156" si="24">D155*C155</f>
        <v>13346.52</v>
      </c>
      <c r="F155" s="419">
        <f t="shared" ref="F155:F156" si="25">E155/22</f>
        <v>606.66</v>
      </c>
      <c r="G155" s="420">
        <f>F155/450</f>
        <v>1.34813333333333</v>
      </c>
    </row>
    <row r="156" spans="1:7">
      <c r="A156" s="433" t="s">
        <v>121</v>
      </c>
      <c r="B156" s="434" t="s">
        <v>122</v>
      </c>
      <c r="C156" s="435">
        <v>8.57</v>
      </c>
      <c r="D156" s="436">
        <v>22</v>
      </c>
      <c r="E156" s="436">
        <f t="shared" si="24"/>
        <v>188.54</v>
      </c>
      <c r="F156" s="436">
        <f t="shared" si="25"/>
        <v>8.57</v>
      </c>
      <c r="G156" s="437">
        <f>F156/450</f>
        <v>0.0190444444444444</v>
      </c>
    </row>
    <row r="157" spans="1:7">
      <c r="A157" s="421"/>
      <c r="B157" s="422"/>
      <c r="C157" s="412"/>
      <c r="D157" s="423"/>
      <c r="E157" s="423"/>
      <c r="F157" s="423"/>
      <c r="G157" s="424"/>
    </row>
    <row r="158" spans="1:7">
      <c r="A158" s="401" t="s">
        <v>90</v>
      </c>
      <c r="B158" s="402"/>
      <c r="C158" s="403">
        <f t="shared" ref="C158:G158" si="26">SUM(C159:C161)</f>
        <v>516.77</v>
      </c>
      <c r="D158" s="403">
        <f t="shared" si="26"/>
        <v>44</v>
      </c>
      <c r="E158" s="403">
        <f t="shared" si="26"/>
        <v>9091.94</v>
      </c>
      <c r="F158" s="403">
        <f t="shared" si="26"/>
        <v>413.27</v>
      </c>
      <c r="G158" s="415">
        <f t="shared" si="26"/>
        <v>0.918377777777778</v>
      </c>
    </row>
    <row r="159" spans="1:7">
      <c r="A159" s="405" t="s">
        <v>123</v>
      </c>
      <c r="B159" s="406" t="s">
        <v>124</v>
      </c>
      <c r="C159" s="407">
        <v>103.5</v>
      </c>
      <c r="D159" s="419">
        <v>0</v>
      </c>
      <c r="E159" s="419">
        <f t="shared" ref="E159:E161" si="27">D159*C159</f>
        <v>0</v>
      </c>
      <c r="F159" s="419">
        <f t="shared" ref="F159:F161" si="28">E159/22</f>
        <v>0</v>
      </c>
      <c r="G159" s="420">
        <f t="shared" ref="G159:G161" si="29">F159/450</f>
        <v>0</v>
      </c>
    </row>
    <row r="160" spans="1:7">
      <c r="A160" s="405" t="s">
        <v>125</v>
      </c>
      <c r="B160" s="406" t="s">
        <v>126</v>
      </c>
      <c r="C160" s="435">
        <v>321.51</v>
      </c>
      <c r="D160" s="419">
        <v>22</v>
      </c>
      <c r="E160" s="419">
        <f t="shared" si="27"/>
        <v>7073.22</v>
      </c>
      <c r="F160" s="419">
        <f t="shared" si="28"/>
        <v>321.51</v>
      </c>
      <c r="G160" s="420">
        <f t="shared" si="29"/>
        <v>0.714466666666667</v>
      </c>
    </row>
    <row r="161" spans="1:7">
      <c r="A161" s="405" t="s">
        <v>127</v>
      </c>
      <c r="B161" s="434" t="s">
        <v>128</v>
      </c>
      <c r="C161" s="435">
        <v>91.76</v>
      </c>
      <c r="D161" s="436">
        <v>22</v>
      </c>
      <c r="E161" s="436">
        <f t="shared" si="27"/>
        <v>2018.72</v>
      </c>
      <c r="F161" s="436">
        <f t="shared" si="28"/>
        <v>91.76</v>
      </c>
      <c r="G161" s="437">
        <f t="shared" si="29"/>
        <v>0.203911111111111</v>
      </c>
    </row>
    <row r="162" spans="1:7">
      <c r="A162" s="425"/>
      <c r="B162" s="438"/>
      <c r="C162" s="439"/>
      <c r="D162" s="440"/>
      <c r="E162" s="440"/>
      <c r="F162" s="440"/>
      <c r="G162" s="441"/>
    </row>
    <row r="163" spans="1:7">
      <c r="A163" s="401" t="s">
        <v>98</v>
      </c>
      <c r="B163" s="402"/>
      <c r="C163" s="403">
        <f t="shared" ref="C163:G163" si="30">SUM(C164:C166)</f>
        <v>72.65</v>
      </c>
      <c r="D163" s="403">
        <f t="shared" si="30"/>
        <v>70</v>
      </c>
      <c r="E163" s="403">
        <f t="shared" si="30"/>
        <v>1266.66</v>
      </c>
      <c r="F163" s="403">
        <f t="shared" si="30"/>
        <v>57.5754545454545</v>
      </c>
      <c r="G163" s="415">
        <f t="shared" si="30"/>
        <v>0.127945454545455</v>
      </c>
    </row>
    <row r="164" spans="1:7">
      <c r="A164" s="405" t="s">
        <v>129</v>
      </c>
      <c r="B164" s="406" t="s">
        <v>130</v>
      </c>
      <c r="C164" s="407">
        <v>37.98</v>
      </c>
      <c r="D164" s="408">
        <v>4</v>
      </c>
      <c r="E164" s="408">
        <f t="shared" ref="E164:E166" si="31">D164*C164</f>
        <v>151.92</v>
      </c>
      <c r="F164" s="408">
        <f t="shared" ref="F164:F166" si="32">E164/22</f>
        <v>6.90545454545455</v>
      </c>
      <c r="G164" s="409">
        <f t="shared" ref="G164:G166" si="33">F164/450</f>
        <v>0.0153454545454545</v>
      </c>
    </row>
    <row r="165" spans="1:7">
      <c r="A165" s="405" t="s">
        <v>131</v>
      </c>
      <c r="B165" s="406" t="s">
        <v>132</v>
      </c>
      <c r="C165" s="407">
        <v>16</v>
      </c>
      <c r="D165" s="408">
        <v>44</v>
      </c>
      <c r="E165" s="408">
        <f t="shared" si="31"/>
        <v>704</v>
      </c>
      <c r="F165" s="408">
        <f t="shared" si="32"/>
        <v>32</v>
      </c>
      <c r="G165" s="409">
        <f t="shared" si="33"/>
        <v>0.0711111111111111</v>
      </c>
    </row>
    <row r="166" spans="1:7">
      <c r="A166" s="428" t="s">
        <v>133</v>
      </c>
      <c r="B166" s="429" t="s">
        <v>134</v>
      </c>
      <c r="C166" s="430">
        <v>18.67</v>
      </c>
      <c r="D166" s="431">
        <v>22</v>
      </c>
      <c r="E166" s="431">
        <f t="shared" si="31"/>
        <v>410.74</v>
      </c>
      <c r="F166" s="431">
        <f t="shared" si="32"/>
        <v>18.67</v>
      </c>
      <c r="G166" s="432">
        <f t="shared" si="33"/>
        <v>0.0414888888888889</v>
      </c>
    </row>
    <row r="167" spans="1:7">
      <c r="A167" s="425"/>
      <c r="B167" s="442"/>
      <c r="C167" s="443"/>
      <c r="D167" s="444"/>
      <c r="E167" s="444"/>
      <c r="F167" s="444"/>
      <c r="G167" s="445"/>
    </row>
    <row r="168" ht="38.25" spans="1:7">
      <c r="A168" s="396" t="s">
        <v>135</v>
      </c>
      <c r="B168" s="397" t="s">
        <v>136</v>
      </c>
      <c r="C168" s="398">
        <f t="shared" ref="C168:G168" si="34">SUM(C169,C173,C177,C180)</f>
        <v>15104.995</v>
      </c>
      <c r="D168" s="398">
        <f t="shared" si="34"/>
        <v>467</v>
      </c>
      <c r="E168" s="398">
        <f t="shared" si="34"/>
        <v>52341.165</v>
      </c>
      <c r="F168" s="398">
        <f>ROUND(F169+F173+F177+F180,2)</f>
        <v>2379.12</v>
      </c>
      <c r="G168" s="399">
        <f t="shared" si="34"/>
        <v>0.110014545454545</v>
      </c>
    </row>
    <row r="169" spans="1:7">
      <c r="A169" s="401" t="s">
        <v>68</v>
      </c>
      <c r="B169" s="402"/>
      <c r="C169" s="403">
        <f t="shared" ref="C169:F169" si="35">SUM(C170:C171)</f>
        <v>209.14</v>
      </c>
      <c r="D169" s="403">
        <f t="shared" si="35"/>
        <v>9</v>
      </c>
      <c r="E169" s="403">
        <f t="shared" si="35"/>
        <v>1288.47</v>
      </c>
      <c r="F169" s="403">
        <f t="shared" si="35"/>
        <v>58.5668181818182</v>
      </c>
      <c r="G169" s="415">
        <f>SUM(G170,G171)</f>
        <v>0.0390445454545455</v>
      </c>
    </row>
    <row r="170" spans="1:7">
      <c r="A170" s="405" t="s">
        <v>137</v>
      </c>
      <c r="B170" s="406" t="s">
        <v>138</v>
      </c>
      <c r="C170" s="407">
        <v>154.19</v>
      </c>
      <c r="D170" s="408">
        <v>8</v>
      </c>
      <c r="E170" s="408">
        <f t="shared" ref="E170:E171" si="36">D170*C170</f>
        <v>1233.52</v>
      </c>
      <c r="F170" s="408">
        <f t="shared" ref="F170:F171" si="37">E170/22</f>
        <v>56.0690909090909</v>
      </c>
      <c r="G170" s="409">
        <f t="shared" ref="G170:G171" si="38">F170/1500</f>
        <v>0.0373793939393939</v>
      </c>
    </row>
    <row r="171" spans="1:7">
      <c r="A171" s="405" t="s">
        <v>139</v>
      </c>
      <c r="B171" s="406" t="s">
        <v>140</v>
      </c>
      <c r="C171" s="407">
        <v>54.95</v>
      </c>
      <c r="D171" s="408">
        <v>1</v>
      </c>
      <c r="E171" s="408">
        <f t="shared" si="36"/>
        <v>54.95</v>
      </c>
      <c r="F171" s="408">
        <f t="shared" si="37"/>
        <v>2.49772727272727</v>
      </c>
      <c r="G171" s="409">
        <f t="shared" si="38"/>
        <v>0.00166515151515152</v>
      </c>
    </row>
    <row r="172" spans="1:7">
      <c r="A172" s="410"/>
      <c r="B172" s="411"/>
      <c r="C172" s="412"/>
      <c r="D172" s="413"/>
      <c r="E172" s="413"/>
      <c r="F172" s="413"/>
      <c r="G172" s="414"/>
    </row>
    <row r="173" spans="1:7">
      <c r="A173" s="446" t="s">
        <v>84</v>
      </c>
      <c r="B173" s="402"/>
      <c r="C173" s="403">
        <f t="shared" ref="C173:F173" si="39">SUM(C174:C184)</f>
        <v>8447.045</v>
      </c>
      <c r="D173" s="403">
        <f t="shared" si="39"/>
        <v>247</v>
      </c>
      <c r="E173" s="403">
        <f t="shared" si="39"/>
        <v>27462.005</v>
      </c>
      <c r="F173" s="403">
        <f t="shared" si="39"/>
        <v>1248.26136363636</v>
      </c>
      <c r="G173" s="415">
        <f>SUM(G174:G175)</f>
        <v>0.0610127272727273</v>
      </c>
    </row>
    <row r="174" spans="1:7">
      <c r="A174" s="405" t="s">
        <v>141</v>
      </c>
      <c r="B174" s="406" t="s">
        <v>138</v>
      </c>
      <c r="C174" s="407">
        <v>220.83</v>
      </c>
      <c r="D174" s="419">
        <v>4</v>
      </c>
      <c r="E174" s="419">
        <f t="shared" ref="E174:E175" si="40">D174*C174</f>
        <v>883.32</v>
      </c>
      <c r="F174" s="419">
        <f t="shared" ref="F174:F175" si="41">E174/22</f>
        <v>40.1509090909091</v>
      </c>
      <c r="G174" s="420">
        <f t="shared" ref="G174:G175" si="42">F174/1500</f>
        <v>0.0267672727272727</v>
      </c>
    </row>
    <row r="175" spans="1:7">
      <c r="A175" s="405" t="s">
        <v>142</v>
      </c>
      <c r="B175" s="406" t="s">
        <v>143</v>
      </c>
      <c r="C175" s="407">
        <v>565.05</v>
      </c>
      <c r="D175" s="419">
        <v>2</v>
      </c>
      <c r="E175" s="419">
        <f t="shared" si="40"/>
        <v>1130.1</v>
      </c>
      <c r="F175" s="419">
        <f t="shared" si="41"/>
        <v>51.3681818181818</v>
      </c>
      <c r="G175" s="420">
        <f t="shared" si="42"/>
        <v>0.0342454545454545</v>
      </c>
    </row>
    <row r="176" spans="1:7">
      <c r="A176" s="421"/>
      <c r="B176" s="422"/>
      <c r="C176" s="412"/>
      <c r="D176" s="423"/>
      <c r="E176" s="423"/>
      <c r="F176" s="423"/>
      <c r="G176" s="424"/>
    </row>
    <row r="177" spans="1:7">
      <c r="A177" s="447" t="s">
        <v>90</v>
      </c>
      <c r="B177" s="402"/>
      <c r="C177" s="448">
        <f t="shared" ref="C177:F177" si="43">SUM(C178:C180)</f>
        <v>3295.805</v>
      </c>
      <c r="D177" s="448">
        <f t="shared" si="43"/>
        <v>106</v>
      </c>
      <c r="E177" s="448">
        <f t="shared" si="43"/>
        <v>11866.745</v>
      </c>
      <c r="F177" s="448">
        <f t="shared" si="43"/>
        <v>539.393636363636</v>
      </c>
      <c r="G177" s="449">
        <f>SUM(G178,G179)</f>
        <v>0.00432727272727273</v>
      </c>
    </row>
    <row r="178" spans="1:7">
      <c r="A178" s="433" t="s">
        <v>144</v>
      </c>
      <c r="B178" s="434" t="s">
        <v>145</v>
      </c>
      <c r="C178" s="435">
        <v>142.8</v>
      </c>
      <c r="D178" s="436">
        <v>1</v>
      </c>
      <c r="E178" s="436">
        <f>D178*C178</f>
        <v>142.8</v>
      </c>
      <c r="F178" s="436">
        <f>E178/22</f>
        <v>6.49090909090909</v>
      </c>
      <c r="G178" s="420">
        <f>F178/1500</f>
        <v>0.00432727272727273</v>
      </c>
    </row>
    <row r="179" spans="1:7">
      <c r="A179" s="421"/>
      <c r="B179" s="422"/>
      <c r="C179" s="412"/>
      <c r="D179" s="423"/>
      <c r="E179" s="423"/>
      <c r="F179" s="423"/>
      <c r="G179" s="424"/>
    </row>
    <row r="180" spans="1:7">
      <c r="A180" s="401" t="s">
        <v>98</v>
      </c>
      <c r="B180" s="402"/>
      <c r="C180" s="403">
        <f t="shared" ref="C180:F180" si="44">SUM(C181:C195)</f>
        <v>3153.005</v>
      </c>
      <c r="D180" s="403">
        <f t="shared" si="44"/>
        <v>105</v>
      </c>
      <c r="E180" s="403">
        <f t="shared" si="44"/>
        <v>11723.945</v>
      </c>
      <c r="F180" s="403">
        <f t="shared" si="44"/>
        <v>532.902727272727</v>
      </c>
      <c r="G180" s="415">
        <f>SUM(G181:G182)</f>
        <v>0.00563</v>
      </c>
    </row>
    <row r="181" spans="1:7">
      <c r="A181" s="405" t="s">
        <v>146</v>
      </c>
      <c r="B181" s="406" t="s">
        <v>147</v>
      </c>
      <c r="C181" s="407">
        <v>82.06</v>
      </c>
      <c r="D181" s="419">
        <v>1</v>
      </c>
      <c r="E181" s="419">
        <f t="shared" ref="E181:E182" si="45">D181*C181</f>
        <v>82.06</v>
      </c>
      <c r="F181" s="419">
        <f t="shared" ref="F181:F182" si="46">E181/22</f>
        <v>3.73</v>
      </c>
      <c r="G181" s="420">
        <f t="shared" ref="G181:G182" si="47">F181/1500</f>
        <v>0.00248666666666667</v>
      </c>
    </row>
    <row r="182" spans="1:7">
      <c r="A182" s="405" t="s">
        <v>148</v>
      </c>
      <c r="B182" s="406" t="s">
        <v>149</v>
      </c>
      <c r="C182" s="407">
        <v>103.73</v>
      </c>
      <c r="D182" s="408">
        <v>1</v>
      </c>
      <c r="E182" s="408">
        <f t="shared" si="45"/>
        <v>103.73</v>
      </c>
      <c r="F182" s="408">
        <f t="shared" si="46"/>
        <v>4.715</v>
      </c>
      <c r="G182" s="409">
        <f t="shared" si="47"/>
        <v>0.00314333333333333</v>
      </c>
    </row>
    <row r="183" spans="1:7">
      <c r="A183" s="421"/>
      <c r="B183" s="422"/>
      <c r="C183" s="412"/>
      <c r="D183" s="423"/>
      <c r="E183" s="423"/>
      <c r="F183" s="423"/>
      <c r="G183" s="424"/>
    </row>
    <row r="184" ht="51" spans="1:7">
      <c r="A184" s="396" t="s">
        <v>150</v>
      </c>
      <c r="B184" s="397" t="s">
        <v>151</v>
      </c>
      <c r="C184" s="398">
        <f t="shared" ref="C184:G184" si="48">SUM(C185,C192)</f>
        <v>883.765</v>
      </c>
      <c r="D184" s="398">
        <f t="shared" si="48"/>
        <v>27</v>
      </c>
      <c r="E184" s="398">
        <f t="shared" si="48"/>
        <v>1529.305</v>
      </c>
      <c r="F184" s="398">
        <f>ROUND(F185+F192,2)</f>
        <v>69.51</v>
      </c>
      <c r="G184" s="399">
        <f t="shared" si="48"/>
        <v>0.256955909090909</v>
      </c>
    </row>
    <row r="185" spans="1:7">
      <c r="A185" s="401" t="s">
        <v>90</v>
      </c>
      <c r="B185" s="402"/>
      <c r="C185" s="403">
        <f t="shared" ref="C185:G185" si="49">SUM(C186:C190)</f>
        <v>853.025</v>
      </c>
      <c r="D185" s="403">
        <f t="shared" si="49"/>
        <v>5</v>
      </c>
      <c r="E185" s="403">
        <f t="shared" si="49"/>
        <v>853.025</v>
      </c>
      <c r="F185" s="403">
        <f t="shared" si="49"/>
        <v>38.7738636363636</v>
      </c>
      <c r="G185" s="415">
        <f t="shared" si="49"/>
        <v>0.0258492424242424</v>
      </c>
    </row>
    <row r="186" spans="1:7">
      <c r="A186" s="405" t="s">
        <v>152</v>
      </c>
      <c r="B186" s="406" t="s">
        <v>153</v>
      </c>
      <c r="C186" s="407">
        <f>112.5*4</f>
        <v>450</v>
      </c>
      <c r="D186" s="419">
        <v>1</v>
      </c>
      <c r="E186" s="419">
        <f t="shared" ref="E186:E190" si="50">D186*C186</f>
        <v>450</v>
      </c>
      <c r="F186" s="419">
        <f t="shared" ref="F186:F190" si="51">E186/22</f>
        <v>20.4545454545455</v>
      </c>
      <c r="G186" s="420">
        <f t="shared" ref="G186:G190" si="52">F186/1500</f>
        <v>0.0136363636363636</v>
      </c>
    </row>
    <row r="187" spans="1:7">
      <c r="A187" s="405" t="s">
        <v>154</v>
      </c>
      <c r="B187" s="406" t="s">
        <v>155</v>
      </c>
      <c r="C187" s="407">
        <f>89.42*2</f>
        <v>178.84</v>
      </c>
      <c r="D187" s="419">
        <v>1</v>
      </c>
      <c r="E187" s="419">
        <f t="shared" si="50"/>
        <v>178.84</v>
      </c>
      <c r="F187" s="419">
        <f t="shared" si="51"/>
        <v>8.12909090909091</v>
      </c>
      <c r="G187" s="420">
        <f t="shared" si="52"/>
        <v>0.00541939393939394</v>
      </c>
    </row>
    <row r="188" spans="1:7">
      <c r="A188" s="405" t="s">
        <v>156</v>
      </c>
      <c r="B188" s="406" t="s">
        <v>157</v>
      </c>
      <c r="C188" s="407">
        <f>6.3*9.45</f>
        <v>59.535</v>
      </c>
      <c r="D188" s="419">
        <v>1</v>
      </c>
      <c r="E188" s="419">
        <f t="shared" si="50"/>
        <v>59.535</v>
      </c>
      <c r="F188" s="419">
        <f t="shared" si="51"/>
        <v>2.70613636363636</v>
      </c>
      <c r="G188" s="420">
        <f t="shared" si="52"/>
        <v>0.00180409090909091</v>
      </c>
    </row>
    <row r="189" spans="1:7">
      <c r="A189" s="405" t="s">
        <v>158</v>
      </c>
      <c r="B189" s="406" t="s">
        <v>159</v>
      </c>
      <c r="C189" s="407">
        <v>97.33</v>
      </c>
      <c r="D189" s="419">
        <v>1</v>
      </c>
      <c r="E189" s="419">
        <f t="shared" si="50"/>
        <v>97.33</v>
      </c>
      <c r="F189" s="419">
        <f t="shared" si="51"/>
        <v>4.42409090909091</v>
      </c>
      <c r="G189" s="420">
        <f t="shared" si="52"/>
        <v>0.00294939393939394</v>
      </c>
    </row>
    <row r="190" spans="1:7">
      <c r="A190" s="405" t="s">
        <v>160</v>
      </c>
      <c r="B190" s="406" t="s">
        <v>161</v>
      </c>
      <c r="C190" s="407">
        <v>67.32</v>
      </c>
      <c r="D190" s="419">
        <v>1</v>
      </c>
      <c r="E190" s="419">
        <f t="shared" si="50"/>
        <v>67.32</v>
      </c>
      <c r="F190" s="419">
        <f t="shared" si="51"/>
        <v>3.06</v>
      </c>
      <c r="G190" s="420">
        <f t="shared" si="52"/>
        <v>0.00204</v>
      </c>
    </row>
    <row r="191" spans="1:7">
      <c r="A191" s="425"/>
      <c r="B191" s="411"/>
      <c r="C191" s="412"/>
      <c r="D191" s="423"/>
      <c r="E191" s="423"/>
      <c r="F191" s="423"/>
      <c r="G191" s="424"/>
    </row>
    <row r="192" spans="1:7">
      <c r="A192" s="447" t="s">
        <v>95</v>
      </c>
      <c r="B192" s="402"/>
      <c r="C192" s="448">
        <f t="shared" ref="C192:F192" si="53">SUM(C193)</f>
        <v>30.74</v>
      </c>
      <c r="D192" s="448">
        <f t="shared" si="53"/>
        <v>22</v>
      </c>
      <c r="E192" s="448">
        <f t="shared" si="53"/>
        <v>676.28</v>
      </c>
      <c r="F192" s="448">
        <f t="shared" si="53"/>
        <v>30.74</v>
      </c>
      <c r="G192" s="449">
        <f>SUM(G193:G194)</f>
        <v>0.231106666666667</v>
      </c>
    </row>
    <row r="193" spans="1:7">
      <c r="A193" s="433" t="s">
        <v>162</v>
      </c>
      <c r="B193" s="434" t="s">
        <v>163</v>
      </c>
      <c r="C193" s="435">
        <v>30.74</v>
      </c>
      <c r="D193" s="436">
        <v>22</v>
      </c>
      <c r="E193" s="436">
        <f t="shared" ref="E193:E194" si="54">D193*C193</f>
        <v>676.28</v>
      </c>
      <c r="F193" s="436">
        <f t="shared" ref="F193:F194" si="55">E193/22</f>
        <v>30.74</v>
      </c>
      <c r="G193" s="420">
        <f t="shared" ref="G193:G194" si="56">F193/1500</f>
        <v>0.0204933333333333</v>
      </c>
    </row>
    <row r="194" spans="1:7">
      <c r="A194" s="433" t="s">
        <v>164</v>
      </c>
      <c r="B194" s="406" t="s">
        <v>97</v>
      </c>
      <c r="C194" s="407">
        <f>84.4+231.52</f>
        <v>315.92</v>
      </c>
      <c r="D194" s="419">
        <v>22</v>
      </c>
      <c r="E194" s="419">
        <f t="shared" si="54"/>
        <v>6950.24</v>
      </c>
      <c r="F194" s="419">
        <f t="shared" si="55"/>
        <v>315.92</v>
      </c>
      <c r="G194" s="420">
        <f t="shared" si="56"/>
        <v>0.210613333333333</v>
      </c>
    </row>
    <row r="195" spans="1:7">
      <c r="A195" s="421"/>
      <c r="B195" s="422"/>
      <c r="C195" s="412"/>
      <c r="D195" s="423"/>
      <c r="E195" s="423"/>
      <c r="F195" s="423"/>
      <c r="G195" s="424"/>
    </row>
    <row r="196" ht="38.25" spans="1:7">
      <c r="A196" s="396" t="s">
        <v>165</v>
      </c>
      <c r="B196" s="397" t="s">
        <v>166</v>
      </c>
      <c r="C196" s="398">
        <f>SUM(C197,C204,C208)</f>
        <v>5106.28</v>
      </c>
      <c r="D196" s="450"/>
      <c r="E196" s="450"/>
      <c r="F196" s="398">
        <f>ROUND(F197+F204+F208,2)</f>
        <v>5131.99</v>
      </c>
      <c r="G196" s="399">
        <f t="shared" ref="G196" si="57">SUM(G197,G204,G208)</f>
        <v>3.42132484848485</v>
      </c>
    </row>
    <row r="197" spans="1:7">
      <c r="A197" s="401" t="s">
        <v>68</v>
      </c>
      <c r="B197" s="402"/>
      <c r="C197" s="403">
        <f t="shared" ref="C197:F197" si="58">SUM(C198:C203)</f>
        <v>1961.25</v>
      </c>
      <c r="D197" s="403">
        <f t="shared" si="58"/>
        <v>110</v>
      </c>
      <c r="E197" s="403">
        <f t="shared" si="58"/>
        <v>43147.5</v>
      </c>
      <c r="F197" s="403">
        <f t="shared" si="58"/>
        <v>1961.25</v>
      </c>
      <c r="G197" s="415">
        <f>SUM(G198:G202)</f>
        <v>1.3075</v>
      </c>
    </row>
    <row r="198" spans="1:7">
      <c r="A198" s="405" t="s">
        <v>167</v>
      </c>
      <c r="B198" s="406" t="s">
        <v>168</v>
      </c>
      <c r="C198" s="407">
        <v>810.64</v>
      </c>
      <c r="D198" s="408">
        <v>22</v>
      </c>
      <c r="E198" s="408">
        <f t="shared" ref="E198:E202" si="59">D198*C198</f>
        <v>17834.08</v>
      </c>
      <c r="F198" s="408">
        <f t="shared" ref="F198:F202" si="60">E198/22</f>
        <v>810.64</v>
      </c>
      <c r="G198" s="409">
        <f t="shared" ref="G198:G202" si="61">F198/1500</f>
        <v>0.540426666666667</v>
      </c>
    </row>
    <row r="199" ht="25.5" spans="1:7">
      <c r="A199" s="405" t="s">
        <v>169</v>
      </c>
      <c r="B199" s="406" t="s">
        <v>170</v>
      </c>
      <c r="C199" s="407">
        <v>851.13</v>
      </c>
      <c r="D199" s="408">
        <v>22</v>
      </c>
      <c r="E199" s="408">
        <f t="shared" si="59"/>
        <v>18724.86</v>
      </c>
      <c r="F199" s="408">
        <f t="shared" si="60"/>
        <v>851.13</v>
      </c>
      <c r="G199" s="409">
        <f t="shared" si="61"/>
        <v>0.56742</v>
      </c>
    </row>
    <row r="200" spans="1:7">
      <c r="A200" s="405" t="s">
        <v>171</v>
      </c>
      <c r="B200" s="406" t="s">
        <v>172</v>
      </c>
      <c r="C200" s="407">
        <v>56.79</v>
      </c>
      <c r="D200" s="408">
        <v>22</v>
      </c>
      <c r="E200" s="408">
        <f t="shared" si="59"/>
        <v>1249.38</v>
      </c>
      <c r="F200" s="408">
        <f t="shared" si="60"/>
        <v>56.79</v>
      </c>
      <c r="G200" s="409">
        <f t="shared" si="61"/>
        <v>0.03786</v>
      </c>
    </row>
    <row r="201" spans="1:7">
      <c r="A201" s="405" t="s">
        <v>173</v>
      </c>
      <c r="B201" s="406" t="s">
        <v>174</v>
      </c>
      <c r="C201" s="407">
        <v>146.68</v>
      </c>
      <c r="D201" s="408">
        <v>22</v>
      </c>
      <c r="E201" s="408">
        <f t="shared" si="59"/>
        <v>3226.96</v>
      </c>
      <c r="F201" s="408">
        <f t="shared" si="60"/>
        <v>146.68</v>
      </c>
      <c r="G201" s="409">
        <f t="shared" si="61"/>
        <v>0.0977866666666667</v>
      </c>
    </row>
    <row r="202" spans="1:7">
      <c r="A202" s="405" t="s">
        <v>175</v>
      </c>
      <c r="B202" s="406" t="s">
        <v>176</v>
      </c>
      <c r="C202" s="407">
        <v>96.01</v>
      </c>
      <c r="D202" s="408">
        <v>22</v>
      </c>
      <c r="E202" s="408">
        <f t="shared" si="59"/>
        <v>2112.22</v>
      </c>
      <c r="F202" s="408">
        <f t="shared" si="60"/>
        <v>96.01</v>
      </c>
      <c r="G202" s="409">
        <f t="shared" si="61"/>
        <v>0.0640066666666667</v>
      </c>
    </row>
    <row r="203" spans="1:7">
      <c r="A203" s="425"/>
      <c r="B203" s="411"/>
      <c r="C203" s="412"/>
      <c r="D203" s="413"/>
      <c r="E203" s="413"/>
      <c r="F203" s="413"/>
      <c r="G203" s="414"/>
    </row>
    <row r="204" spans="1:7">
      <c r="A204" s="401" t="s">
        <v>84</v>
      </c>
      <c r="B204" s="402"/>
      <c r="C204" s="403">
        <f t="shared" ref="C204:G204" si="62">SUM(C205:C206)</f>
        <v>2359.19</v>
      </c>
      <c r="D204" s="403">
        <f t="shared" si="62"/>
        <v>45</v>
      </c>
      <c r="E204" s="403">
        <f t="shared" si="62"/>
        <v>50922.96</v>
      </c>
      <c r="F204" s="403">
        <f t="shared" si="62"/>
        <v>2314.68</v>
      </c>
      <c r="G204" s="415">
        <f t="shared" si="62"/>
        <v>1.54312</v>
      </c>
    </row>
    <row r="205" spans="1:7">
      <c r="A205" s="405" t="s">
        <v>177</v>
      </c>
      <c r="B205" s="406" t="s">
        <v>178</v>
      </c>
      <c r="C205" s="407">
        <v>1129.39</v>
      </c>
      <c r="D205" s="408">
        <v>44</v>
      </c>
      <c r="E205" s="408">
        <f t="shared" ref="E205:E206" si="63">D205*C205</f>
        <v>49693.16</v>
      </c>
      <c r="F205" s="408">
        <f t="shared" ref="F205:F206" si="64">E205/22</f>
        <v>2258.78</v>
      </c>
      <c r="G205" s="409">
        <f t="shared" ref="G205:G206" si="65">F205/1500</f>
        <v>1.50585333333333</v>
      </c>
    </row>
    <row r="206" spans="1:7">
      <c r="A206" s="405" t="s">
        <v>179</v>
      </c>
      <c r="B206" s="406" t="s">
        <v>180</v>
      </c>
      <c r="C206" s="407">
        <v>1229.8</v>
      </c>
      <c r="D206" s="419">
        <v>1</v>
      </c>
      <c r="E206" s="419">
        <f t="shared" si="63"/>
        <v>1229.8</v>
      </c>
      <c r="F206" s="419">
        <f t="shared" si="64"/>
        <v>55.9</v>
      </c>
      <c r="G206" s="420">
        <f t="shared" si="65"/>
        <v>0.0372666666666667</v>
      </c>
    </row>
    <row r="207" spans="1:7">
      <c r="A207" s="421"/>
      <c r="B207" s="422"/>
      <c r="C207" s="412"/>
      <c r="D207" s="423"/>
      <c r="E207" s="423"/>
      <c r="F207" s="423"/>
      <c r="G207" s="424"/>
    </row>
    <row r="208" spans="1:7">
      <c r="A208" s="401" t="s">
        <v>98</v>
      </c>
      <c r="B208" s="402"/>
      <c r="C208" s="403">
        <f t="shared" ref="C208:F208" si="66">SUM(C209:C211)</f>
        <v>785.84</v>
      </c>
      <c r="D208" s="403">
        <f t="shared" si="66"/>
        <v>46</v>
      </c>
      <c r="E208" s="403">
        <f t="shared" si="66"/>
        <v>18833.26</v>
      </c>
      <c r="F208" s="403">
        <f t="shared" si="66"/>
        <v>856.057272727273</v>
      </c>
      <c r="G208" s="415">
        <f>SUM(G209:G210)</f>
        <v>0.570704848484849</v>
      </c>
    </row>
    <row r="209" spans="1:7">
      <c r="A209" s="405" t="s">
        <v>181</v>
      </c>
      <c r="B209" s="406" t="s">
        <v>182</v>
      </c>
      <c r="C209" s="407">
        <v>410.99</v>
      </c>
      <c r="D209" s="419">
        <v>44</v>
      </c>
      <c r="E209" s="419">
        <f t="shared" ref="E209:E210" si="67">D209*C209</f>
        <v>18083.56</v>
      </c>
      <c r="F209" s="419">
        <f t="shared" ref="F209:F210" si="68">E209/22</f>
        <v>821.98</v>
      </c>
      <c r="G209" s="420">
        <f t="shared" ref="G209:G210" si="69">F209/1500</f>
        <v>0.547986666666667</v>
      </c>
    </row>
    <row r="210" spans="1:7">
      <c r="A210" s="405" t="s">
        <v>183</v>
      </c>
      <c r="B210" s="406" t="s">
        <v>184</v>
      </c>
      <c r="C210" s="407">
        <v>374.85</v>
      </c>
      <c r="D210" s="419">
        <v>2</v>
      </c>
      <c r="E210" s="419">
        <f t="shared" si="67"/>
        <v>749.7</v>
      </c>
      <c r="F210" s="419">
        <f t="shared" si="68"/>
        <v>34.0772727272727</v>
      </c>
      <c r="G210" s="420">
        <f t="shared" si="69"/>
        <v>0.0227181818181818</v>
      </c>
    </row>
    <row r="211" spans="1:7">
      <c r="A211" s="421"/>
      <c r="B211" s="422"/>
      <c r="C211" s="412"/>
      <c r="D211" s="423"/>
      <c r="E211" s="423"/>
      <c r="F211" s="423"/>
      <c r="G211" s="424"/>
    </row>
    <row r="212" ht="51" spans="1:7">
      <c r="A212" s="396" t="s">
        <v>185</v>
      </c>
      <c r="B212" s="397" t="s">
        <v>186</v>
      </c>
      <c r="C212" s="398">
        <f>SUM(C213,C220,C224,C230,C234)</f>
        <v>517.06</v>
      </c>
      <c r="D212" s="450"/>
      <c r="E212" s="450"/>
      <c r="F212" s="398">
        <f>ROUND(F213+F220+F224+F230+F234,2)</f>
        <v>1153.16</v>
      </c>
      <c r="G212" s="399">
        <f t="shared" ref="G212" si="70">SUM(G213,G220,G224,G230,G234)</f>
        <v>5.7658</v>
      </c>
    </row>
    <row r="213" spans="1:7">
      <c r="A213" s="401" t="s">
        <v>68</v>
      </c>
      <c r="B213" s="402"/>
      <c r="C213" s="403">
        <f t="shared" ref="C213:F213" si="71">SUM(C214:C219)</f>
        <v>261.8</v>
      </c>
      <c r="D213" s="403">
        <f t="shared" si="71"/>
        <v>220</v>
      </c>
      <c r="E213" s="403">
        <f t="shared" si="71"/>
        <v>13322.76</v>
      </c>
      <c r="F213" s="403">
        <f t="shared" si="71"/>
        <v>605.58</v>
      </c>
      <c r="G213" s="415">
        <f>SUM(G214:G218)</f>
        <v>3.0279</v>
      </c>
    </row>
    <row r="214" ht="25.5" spans="1:7">
      <c r="A214" s="405" t="s">
        <v>187</v>
      </c>
      <c r="B214" s="406" t="s">
        <v>188</v>
      </c>
      <c r="C214" s="407">
        <f>100.74</f>
        <v>100.74</v>
      </c>
      <c r="D214" s="408">
        <v>66</v>
      </c>
      <c r="E214" s="408">
        <f t="shared" ref="E214:E218" si="72">D214*C214</f>
        <v>6648.84</v>
      </c>
      <c r="F214" s="408">
        <f t="shared" ref="F214:F218" si="73">E214/22</f>
        <v>302.22</v>
      </c>
      <c r="G214" s="409">
        <f t="shared" ref="G214:G218" si="74">F214/200</f>
        <v>1.5111</v>
      </c>
    </row>
    <row r="215" ht="25.5" spans="1:7">
      <c r="A215" s="405" t="s">
        <v>189</v>
      </c>
      <c r="B215" s="406" t="s">
        <v>190</v>
      </c>
      <c r="C215" s="407">
        <v>89.49</v>
      </c>
      <c r="D215" s="408">
        <v>44</v>
      </c>
      <c r="E215" s="408">
        <f t="shared" si="72"/>
        <v>3937.56</v>
      </c>
      <c r="F215" s="408">
        <f t="shared" si="73"/>
        <v>178.98</v>
      </c>
      <c r="G215" s="409">
        <f t="shared" si="74"/>
        <v>0.8949</v>
      </c>
    </row>
    <row r="216" spans="1:7">
      <c r="A216" s="405" t="s">
        <v>191</v>
      </c>
      <c r="B216" s="406" t="s">
        <v>81</v>
      </c>
      <c r="C216" s="407">
        <v>18.76</v>
      </c>
      <c r="D216" s="408">
        <v>22</v>
      </c>
      <c r="E216" s="408">
        <f t="shared" si="72"/>
        <v>412.72</v>
      </c>
      <c r="F216" s="408">
        <f t="shared" si="73"/>
        <v>18.76</v>
      </c>
      <c r="G216" s="409">
        <f t="shared" si="74"/>
        <v>0.0938</v>
      </c>
    </row>
    <row r="217" spans="1:7">
      <c r="A217" s="405" t="s">
        <v>192</v>
      </c>
      <c r="B217" s="406" t="s">
        <v>193</v>
      </c>
      <c r="C217" s="407">
        <v>32.81</v>
      </c>
      <c r="D217" s="408">
        <v>44</v>
      </c>
      <c r="E217" s="408">
        <f t="shared" si="72"/>
        <v>1443.64</v>
      </c>
      <c r="F217" s="408">
        <f t="shared" si="73"/>
        <v>65.62</v>
      </c>
      <c r="G217" s="409">
        <f t="shared" si="74"/>
        <v>0.3281</v>
      </c>
    </row>
    <row r="218" spans="1:7">
      <c r="A218" s="405" t="s">
        <v>194</v>
      </c>
      <c r="B218" s="406" t="s">
        <v>83</v>
      </c>
      <c r="C218" s="407">
        <v>20</v>
      </c>
      <c r="D218" s="408">
        <v>44</v>
      </c>
      <c r="E218" s="408">
        <f t="shared" si="72"/>
        <v>880</v>
      </c>
      <c r="F218" s="408">
        <f t="shared" si="73"/>
        <v>40</v>
      </c>
      <c r="G218" s="409">
        <f t="shared" si="74"/>
        <v>0.2</v>
      </c>
    </row>
    <row r="219" spans="1:7">
      <c r="A219" s="410"/>
      <c r="B219" s="411"/>
      <c r="C219" s="412"/>
      <c r="D219" s="413"/>
      <c r="E219" s="413"/>
      <c r="F219" s="413"/>
      <c r="G219" s="414"/>
    </row>
    <row r="220" spans="1:7">
      <c r="A220" s="401" t="s">
        <v>84</v>
      </c>
      <c r="B220" s="402"/>
      <c r="C220" s="403">
        <f t="shared" ref="C220:F220" si="75">SUM(C221:C223)</f>
        <v>111.06</v>
      </c>
      <c r="D220" s="403">
        <f t="shared" si="75"/>
        <v>88</v>
      </c>
      <c r="E220" s="403">
        <f t="shared" si="75"/>
        <v>4886.64</v>
      </c>
      <c r="F220" s="403">
        <f t="shared" si="75"/>
        <v>222.12</v>
      </c>
      <c r="G220" s="415">
        <f>SUM(G221:G222)</f>
        <v>1.1106</v>
      </c>
    </row>
    <row r="221" spans="1:7">
      <c r="A221" s="405" t="s">
        <v>195</v>
      </c>
      <c r="B221" s="406" t="s">
        <v>196</v>
      </c>
      <c r="C221" s="407">
        <v>111.06</v>
      </c>
      <c r="D221" s="419">
        <v>44</v>
      </c>
      <c r="E221" s="419">
        <f t="shared" ref="E221:E222" si="76">D221*C221</f>
        <v>4886.64</v>
      </c>
      <c r="F221" s="419">
        <f t="shared" ref="F221:F222" si="77">E221/22</f>
        <v>222.12</v>
      </c>
      <c r="G221" s="420">
        <f t="shared" ref="G221:G222" si="78">F221/200</f>
        <v>1.1106</v>
      </c>
    </row>
    <row r="222" spans="1:7">
      <c r="A222" s="405" t="s">
        <v>197</v>
      </c>
      <c r="B222" s="406" t="s">
        <v>120</v>
      </c>
      <c r="C222" s="407">
        <v>0</v>
      </c>
      <c r="D222" s="419">
        <v>44</v>
      </c>
      <c r="E222" s="419">
        <f t="shared" si="76"/>
        <v>0</v>
      </c>
      <c r="F222" s="419">
        <f t="shared" si="77"/>
        <v>0</v>
      </c>
      <c r="G222" s="420">
        <f t="shared" si="78"/>
        <v>0</v>
      </c>
    </row>
    <row r="223" spans="1:7">
      <c r="A223" s="421"/>
      <c r="B223" s="422"/>
      <c r="C223" s="412"/>
      <c r="D223" s="423"/>
      <c r="E223" s="423"/>
      <c r="F223" s="423"/>
      <c r="G223" s="424"/>
    </row>
    <row r="224" spans="1:7">
      <c r="A224" s="401" t="s">
        <v>90</v>
      </c>
      <c r="B224" s="402"/>
      <c r="C224" s="403">
        <f t="shared" ref="C224:G224" si="79">SUM(C225:C228)</f>
        <v>28.02</v>
      </c>
      <c r="D224" s="403">
        <f t="shared" si="79"/>
        <v>110</v>
      </c>
      <c r="E224" s="403">
        <f t="shared" si="79"/>
        <v>749.32</v>
      </c>
      <c r="F224" s="403">
        <f t="shared" si="79"/>
        <v>34.06</v>
      </c>
      <c r="G224" s="415">
        <f t="shared" si="79"/>
        <v>0.1703</v>
      </c>
    </row>
    <row r="225" spans="1:7">
      <c r="A225" s="405" t="s">
        <v>198</v>
      </c>
      <c r="B225" s="406" t="s">
        <v>92</v>
      </c>
      <c r="C225" s="407">
        <v>6.04</v>
      </c>
      <c r="D225" s="419">
        <v>44</v>
      </c>
      <c r="E225" s="419">
        <f t="shared" ref="E225:E228" si="80">D225*C225</f>
        <v>265.76</v>
      </c>
      <c r="F225" s="419">
        <f t="shared" ref="F225:F228" si="81">E225/22</f>
        <v>12.08</v>
      </c>
      <c r="G225" s="420">
        <f t="shared" ref="G225:G228" si="82">F225/200</f>
        <v>0.0604</v>
      </c>
    </row>
    <row r="226" spans="1:7">
      <c r="A226" s="405" t="s">
        <v>199</v>
      </c>
      <c r="B226" s="406" t="s">
        <v>126</v>
      </c>
      <c r="C226" s="407">
        <v>4.53</v>
      </c>
      <c r="D226" s="419">
        <v>22</v>
      </c>
      <c r="E226" s="419">
        <f t="shared" si="80"/>
        <v>99.66</v>
      </c>
      <c r="F226" s="419">
        <f t="shared" si="81"/>
        <v>4.53</v>
      </c>
      <c r="G226" s="420">
        <f t="shared" si="82"/>
        <v>0.02265</v>
      </c>
    </row>
    <row r="227" spans="1:7">
      <c r="A227" s="405" t="s">
        <v>200</v>
      </c>
      <c r="B227" s="406" t="s">
        <v>128</v>
      </c>
      <c r="C227" s="407">
        <v>8.7</v>
      </c>
      <c r="D227" s="419">
        <v>22</v>
      </c>
      <c r="E227" s="419">
        <f t="shared" si="80"/>
        <v>191.4</v>
      </c>
      <c r="F227" s="419">
        <f t="shared" si="81"/>
        <v>8.7</v>
      </c>
      <c r="G227" s="420">
        <f t="shared" si="82"/>
        <v>0.0435</v>
      </c>
    </row>
    <row r="228" spans="1:7">
      <c r="A228" s="405" t="s">
        <v>201</v>
      </c>
      <c r="B228" s="406" t="s">
        <v>145</v>
      </c>
      <c r="C228" s="407">
        <v>8.75</v>
      </c>
      <c r="D228" s="419">
        <v>22</v>
      </c>
      <c r="E228" s="419">
        <f t="shared" si="80"/>
        <v>192.5</v>
      </c>
      <c r="F228" s="419">
        <f t="shared" si="81"/>
        <v>8.75</v>
      </c>
      <c r="G228" s="420">
        <f t="shared" si="82"/>
        <v>0.04375</v>
      </c>
    </row>
    <row r="229" spans="1:7">
      <c r="A229" s="425"/>
      <c r="B229" s="411"/>
      <c r="C229" s="412"/>
      <c r="D229" s="423"/>
      <c r="E229" s="423"/>
      <c r="F229" s="423"/>
      <c r="G229" s="424"/>
    </row>
    <row r="230" spans="1:7">
      <c r="A230" s="401" t="s">
        <v>95</v>
      </c>
      <c r="B230" s="402"/>
      <c r="C230" s="403">
        <f t="shared" ref="C230:G230" si="83">SUM(C231:C232)</f>
        <v>21.57</v>
      </c>
      <c r="D230" s="403">
        <f t="shared" si="83"/>
        <v>66</v>
      </c>
      <c r="E230" s="403">
        <f t="shared" si="83"/>
        <v>720.94</v>
      </c>
      <c r="F230" s="403">
        <f t="shared" si="83"/>
        <v>32.77</v>
      </c>
      <c r="G230" s="415">
        <f t="shared" si="83"/>
        <v>0.16385</v>
      </c>
    </row>
    <row r="231" spans="1:7">
      <c r="A231" s="405" t="s">
        <v>202</v>
      </c>
      <c r="B231" s="406" t="s">
        <v>97</v>
      </c>
      <c r="C231" s="407">
        <v>11.2</v>
      </c>
      <c r="D231" s="419">
        <v>44</v>
      </c>
      <c r="E231" s="419">
        <f t="shared" ref="E231:E232" si="84">D231*C231</f>
        <v>492.8</v>
      </c>
      <c r="F231" s="419">
        <f t="shared" ref="F231:F232" si="85">E231/22</f>
        <v>22.4</v>
      </c>
      <c r="G231" s="420">
        <f t="shared" ref="G231:G232" si="86">F231/200</f>
        <v>0.112</v>
      </c>
    </row>
    <row r="232" spans="1:7">
      <c r="A232" s="405" t="s">
        <v>203</v>
      </c>
      <c r="B232" s="406" t="s">
        <v>163</v>
      </c>
      <c r="C232" s="407">
        <v>10.37</v>
      </c>
      <c r="D232" s="419">
        <v>22</v>
      </c>
      <c r="E232" s="419">
        <f t="shared" si="84"/>
        <v>228.14</v>
      </c>
      <c r="F232" s="419">
        <f t="shared" si="85"/>
        <v>10.37</v>
      </c>
      <c r="G232" s="420">
        <f t="shared" si="86"/>
        <v>0.05185</v>
      </c>
    </row>
    <row r="233" spans="1:7">
      <c r="A233" s="421"/>
      <c r="B233" s="422"/>
      <c r="C233" s="412"/>
      <c r="D233" s="423"/>
      <c r="E233" s="423"/>
      <c r="F233" s="423"/>
      <c r="G233" s="424"/>
    </row>
    <row r="234" spans="1:7">
      <c r="A234" s="401" t="s">
        <v>98</v>
      </c>
      <c r="B234" s="402"/>
      <c r="C234" s="403">
        <f t="shared" ref="C234:G234" si="87">SUM(C235:C237)</f>
        <v>94.61</v>
      </c>
      <c r="D234" s="403">
        <f t="shared" si="87"/>
        <v>154</v>
      </c>
      <c r="E234" s="403">
        <f t="shared" si="87"/>
        <v>5689.86</v>
      </c>
      <c r="F234" s="403">
        <f t="shared" si="87"/>
        <v>258.63</v>
      </c>
      <c r="G234" s="415">
        <f t="shared" si="87"/>
        <v>1.29315</v>
      </c>
    </row>
    <row r="235" spans="1:7">
      <c r="A235" s="405" t="s">
        <v>204</v>
      </c>
      <c r="B235" s="406" t="s">
        <v>106</v>
      </c>
      <c r="C235" s="407">
        <v>12.6</v>
      </c>
      <c r="D235" s="419">
        <v>22</v>
      </c>
      <c r="E235" s="419">
        <f t="shared" ref="E235:E237" si="88">D235*C235</f>
        <v>277.2</v>
      </c>
      <c r="F235" s="419">
        <f t="shared" ref="F235:F237" si="89">E235/22</f>
        <v>12.6</v>
      </c>
      <c r="G235" s="420">
        <f t="shared" ref="G235:G237" si="90">F235/200</f>
        <v>0.063</v>
      </c>
    </row>
    <row r="236" spans="1:9">
      <c r="A236" s="405" t="s">
        <v>205</v>
      </c>
      <c r="B236" s="406" t="s">
        <v>206</v>
      </c>
      <c r="C236" s="407">
        <v>79.85</v>
      </c>
      <c r="D236" s="419">
        <v>66</v>
      </c>
      <c r="E236" s="419">
        <f t="shared" si="88"/>
        <v>5270.1</v>
      </c>
      <c r="F236" s="419">
        <f t="shared" si="89"/>
        <v>239.55</v>
      </c>
      <c r="G236" s="420">
        <f t="shared" si="90"/>
        <v>1.19775</v>
      </c>
      <c r="I236" s="455"/>
    </row>
    <row r="237" spans="1:7">
      <c r="A237" s="405" t="s">
        <v>207</v>
      </c>
      <c r="B237" s="406" t="s">
        <v>208</v>
      </c>
      <c r="C237" s="407">
        <v>2.16</v>
      </c>
      <c r="D237" s="419">
        <v>66</v>
      </c>
      <c r="E237" s="419">
        <f t="shared" si="88"/>
        <v>142.56</v>
      </c>
      <c r="F237" s="419">
        <f t="shared" si="89"/>
        <v>6.48</v>
      </c>
      <c r="G237" s="420">
        <f t="shared" si="90"/>
        <v>0.0324</v>
      </c>
    </row>
    <row r="238" spans="1:7">
      <c r="A238" s="451"/>
      <c r="B238" s="452"/>
      <c r="C238" s="407"/>
      <c r="D238" s="419"/>
      <c r="E238" s="419"/>
      <c r="F238" s="419"/>
      <c r="G238" s="420"/>
    </row>
    <row r="239" spans="1:7">
      <c r="A239" s="393" t="s">
        <v>209</v>
      </c>
      <c r="B239" s="453" t="s">
        <v>210</v>
      </c>
      <c r="C239" s="454">
        <f>SUM(C240,C265,C275,C291,C315)</f>
        <v>92216.34</v>
      </c>
      <c r="D239" s="454">
        <f>SUM(D240,D265,D275,D291,D315)</f>
        <v>524.916666666667</v>
      </c>
      <c r="E239" s="454">
        <f>SUM(E240,E265,E275,E291,E315)</f>
        <v>566385.960833333</v>
      </c>
      <c r="F239" s="454">
        <f>SUM(F240,F265,F275,F291,F315)</f>
        <v>25744.82</v>
      </c>
      <c r="G239" s="395">
        <f>ROUNDUP(SUM(G240,G265,G275,G291,G315),0)</f>
        <v>7</v>
      </c>
    </row>
    <row r="240" ht="51" spans="1:7">
      <c r="A240" s="396" t="s">
        <v>211</v>
      </c>
      <c r="B240" s="397" t="s">
        <v>212</v>
      </c>
      <c r="C240" s="398">
        <f t="shared" ref="C240:G240" si="91">SUM(C241,C246,C249,C257,C260)</f>
        <v>4505.65</v>
      </c>
      <c r="D240" s="398">
        <f t="shared" si="91"/>
        <v>308</v>
      </c>
      <c r="E240" s="398">
        <f t="shared" si="91"/>
        <v>99124.3</v>
      </c>
      <c r="F240" s="398">
        <f>ROUND(F241+F246+F249+F257+F260,2)</f>
        <v>4505.65</v>
      </c>
      <c r="G240" s="399">
        <f t="shared" si="91"/>
        <v>2.50313888888889</v>
      </c>
    </row>
    <row r="241" spans="1:7">
      <c r="A241" s="401" t="s">
        <v>68</v>
      </c>
      <c r="B241" s="402"/>
      <c r="C241" s="403">
        <f t="shared" ref="C241:F241" si="92">SUM(C242:C245)</f>
        <v>1583.64</v>
      </c>
      <c r="D241" s="403">
        <f t="shared" si="92"/>
        <v>66</v>
      </c>
      <c r="E241" s="403">
        <f t="shared" si="92"/>
        <v>34840.08</v>
      </c>
      <c r="F241" s="403">
        <f t="shared" si="92"/>
        <v>1583.64</v>
      </c>
      <c r="G241" s="415">
        <f>SUM(G242:G244)</f>
        <v>0.8798</v>
      </c>
    </row>
    <row r="242" spans="1:7">
      <c r="A242" s="405" t="s">
        <v>213</v>
      </c>
      <c r="B242" s="406" t="s">
        <v>214</v>
      </c>
      <c r="C242" s="407">
        <v>1307.23</v>
      </c>
      <c r="D242" s="408">
        <v>22</v>
      </c>
      <c r="E242" s="408">
        <f t="shared" ref="E242:E244" si="93">D242*C242</f>
        <v>28759.06</v>
      </c>
      <c r="F242" s="408">
        <f t="shared" ref="F242:F244" si="94">E242/22</f>
        <v>1307.23</v>
      </c>
      <c r="G242" s="409">
        <f t="shared" ref="G242:G244" si="95">F242/1800</f>
        <v>0.726238888888889</v>
      </c>
    </row>
    <row r="243" ht="25.5" spans="1:7">
      <c r="A243" s="405" t="s">
        <v>215</v>
      </c>
      <c r="B243" s="406" t="s">
        <v>216</v>
      </c>
      <c r="C243" s="407">
        <v>159.84</v>
      </c>
      <c r="D243" s="408">
        <v>22</v>
      </c>
      <c r="E243" s="408">
        <f t="shared" si="93"/>
        <v>3516.48</v>
      </c>
      <c r="F243" s="408">
        <f t="shared" si="94"/>
        <v>159.84</v>
      </c>
      <c r="G243" s="409">
        <f t="shared" si="95"/>
        <v>0.0888</v>
      </c>
    </row>
    <row r="244" ht="25.5" spans="1:7">
      <c r="A244" s="405" t="s">
        <v>217</v>
      </c>
      <c r="B244" s="406" t="s">
        <v>218</v>
      </c>
      <c r="C244" s="407">
        <v>116.57</v>
      </c>
      <c r="D244" s="408">
        <v>22</v>
      </c>
      <c r="E244" s="408">
        <f t="shared" si="93"/>
        <v>2564.54</v>
      </c>
      <c r="F244" s="408">
        <f t="shared" si="94"/>
        <v>116.57</v>
      </c>
      <c r="G244" s="409">
        <f t="shared" si="95"/>
        <v>0.0647611111111111</v>
      </c>
    </row>
    <row r="245" spans="1:7">
      <c r="A245" s="410"/>
      <c r="B245" s="411"/>
      <c r="C245" s="412"/>
      <c r="D245" s="413"/>
      <c r="E245" s="413"/>
      <c r="F245" s="413"/>
      <c r="G245" s="414"/>
    </row>
    <row r="246" spans="1:7">
      <c r="A246" s="401" t="s">
        <v>84</v>
      </c>
      <c r="B246" s="402"/>
      <c r="C246" s="403">
        <f t="shared" ref="C246:F246" si="96">SUM(C247:C248)</f>
        <v>1091.39</v>
      </c>
      <c r="D246" s="403">
        <f t="shared" si="96"/>
        <v>22</v>
      </c>
      <c r="E246" s="403">
        <f t="shared" si="96"/>
        <v>24010.58</v>
      </c>
      <c r="F246" s="403">
        <f t="shared" si="96"/>
        <v>1091.39</v>
      </c>
      <c r="G246" s="415">
        <f>SUM(G247)</f>
        <v>0.606327777777778</v>
      </c>
    </row>
    <row r="247" spans="1:7">
      <c r="A247" s="405" t="s">
        <v>219</v>
      </c>
      <c r="B247" s="406" t="s">
        <v>220</v>
      </c>
      <c r="C247" s="407">
        <v>1091.39</v>
      </c>
      <c r="D247" s="408">
        <v>22</v>
      </c>
      <c r="E247" s="408">
        <f>D247*C247</f>
        <v>24010.58</v>
      </c>
      <c r="F247" s="408">
        <f>E247/22</f>
        <v>1091.39</v>
      </c>
      <c r="G247" s="409">
        <f>F247/1800</f>
        <v>0.606327777777778</v>
      </c>
    </row>
    <row r="248" spans="1:7">
      <c r="A248" s="421"/>
      <c r="B248" s="422"/>
      <c r="C248" s="412"/>
      <c r="D248" s="423"/>
      <c r="E248" s="423"/>
      <c r="F248" s="423"/>
      <c r="G248" s="424"/>
    </row>
    <row r="249" spans="1:7">
      <c r="A249" s="401" t="s">
        <v>90</v>
      </c>
      <c r="B249" s="402"/>
      <c r="C249" s="403">
        <f t="shared" ref="C249:F249" si="97">SUM(C250:C256)</f>
        <v>769.96</v>
      </c>
      <c r="D249" s="403">
        <f t="shared" si="97"/>
        <v>132</v>
      </c>
      <c r="E249" s="403">
        <f t="shared" si="97"/>
        <v>16939.12</v>
      </c>
      <c r="F249" s="403">
        <f t="shared" si="97"/>
        <v>769.96</v>
      </c>
      <c r="G249" s="415">
        <f>SUM(G250:G255)</f>
        <v>0.427755555555556</v>
      </c>
    </row>
    <row r="250" spans="1:7">
      <c r="A250" s="405" t="s">
        <v>221</v>
      </c>
      <c r="B250" s="406" t="s">
        <v>222</v>
      </c>
      <c r="C250" s="407">
        <v>37.8</v>
      </c>
      <c r="D250" s="408">
        <v>22</v>
      </c>
      <c r="E250" s="408">
        <f t="shared" ref="E250:E255" si="98">D250*C250</f>
        <v>831.6</v>
      </c>
      <c r="F250" s="408">
        <f t="shared" ref="F250:F255" si="99">E250/22</f>
        <v>37.8</v>
      </c>
      <c r="G250" s="409">
        <f t="shared" ref="G250:G255" si="100">F250/1800</f>
        <v>0.021</v>
      </c>
    </row>
    <row r="251" ht="25.5" spans="1:7">
      <c r="A251" s="405" t="s">
        <v>223</v>
      </c>
      <c r="B251" s="406" t="s">
        <v>224</v>
      </c>
      <c r="C251" s="407">
        <v>412.8</v>
      </c>
      <c r="D251" s="408">
        <v>22</v>
      </c>
      <c r="E251" s="408">
        <f t="shared" si="98"/>
        <v>9081.6</v>
      </c>
      <c r="F251" s="408">
        <f t="shared" si="99"/>
        <v>412.8</v>
      </c>
      <c r="G251" s="409">
        <f t="shared" si="100"/>
        <v>0.229333333333333</v>
      </c>
    </row>
    <row r="252" spans="1:7">
      <c r="A252" s="405" t="s">
        <v>225</v>
      </c>
      <c r="B252" s="406" t="s">
        <v>226</v>
      </c>
      <c r="C252" s="407">
        <v>66.3</v>
      </c>
      <c r="D252" s="408">
        <v>22</v>
      </c>
      <c r="E252" s="408">
        <f t="shared" si="98"/>
        <v>1458.6</v>
      </c>
      <c r="F252" s="408">
        <f t="shared" si="99"/>
        <v>66.3</v>
      </c>
      <c r="G252" s="409">
        <f t="shared" si="100"/>
        <v>0.0368333333333333</v>
      </c>
    </row>
    <row r="253" ht="25.5" spans="1:7">
      <c r="A253" s="405" t="s">
        <v>227</v>
      </c>
      <c r="B253" s="406" t="s">
        <v>228</v>
      </c>
      <c r="C253" s="407">
        <v>73.2</v>
      </c>
      <c r="D253" s="408">
        <v>22</v>
      </c>
      <c r="E253" s="408">
        <f t="shared" si="98"/>
        <v>1610.4</v>
      </c>
      <c r="F253" s="408">
        <f t="shared" si="99"/>
        <v>73.2</v>
      </c>
      <c r="G253" s="409">
        <f t="shared" si="100"/>
        <v>0.0406666666666667</v>
      </c>
    </row>
    <row r="254" ht="25.5" spans="1:7">
      <c r="A254" s="405" t="s">
        <v>229</v>
      </c>
      <c r="B254" s="406" t="s">
        <v>230</v>
      </c>
      <c r="C254" s="407">
        <v>133.26</v>
      </c>
      <c r="D254" s="408">
        <v>22</v>
      </c>
      <c r="E254" s="408">
        <f t="shared" si="98"/>
        <v>2931.72</v>
      </c>
      <c r="F254" s="408">
        <f t="shared" si="99"/>
        <v>133.26</v>
      </c>
      <c r="G254" s="409">
        <f t="shared" si="100"/>
        <v>0.0740333333333333</v>
      </c>
    </row>
    <row r="255" ht="25.5" spans="1:7">
      <c r="A255" s="405" t="s">
        <v>231</v>
      </c>
      <c r="B255" s="406" t="s">
        <v>232</v>
      </c>
      <c r="C255" s="407">
        <v>46.6</v>
      </c>
      <c r="D255" s="408">
        <v>22</v>
      </c>
      <c r="E255" s="408">
        <f t="shared" si="98"/>
        <v>1025.2</v>
      </c>
      <c r="F255" s="408">
        <f t="shared" si="99"/>
        <v>46.6</v>
      </c>
      <c r="G255" s="409">
        <f t="shared" si="100"/>
        <v>0.0258888888888889</v>
      </c>
    </row>
    <row r="256" spans="1:7">
      <c r="A256" s="410"/>
      <c r="B256" s="411"/>
      <c r="C256" s="412"/>
      <c r="D256" s="413"/>
      <c r="E256" s="413"/>
      <c r="F256" s="413"/>
      <c r="G256" s="414"/>
    </row>
    <row r="257" spans="1:7">
      <c r="A257" s="401" t="s">
        <v>95</v>
      </c>
      <c r="B257" s="402"/>
      <c r="C257" s="403">
        <f t="shared" ref="C257:G257" si="101">SUM(C258)</f>
        <v>260.62</v>
      </c>
      <c r="D257" s="403">
        <f t="shared" si="101"/>
        <v>22</v>
      </c>
      <c r="E257" s="403">
        <f t="shared" si="101"/>
        <v>5733.64</v>
      </c>
      <c r="F257" s="403">
        <f t="shared" si="101"/>
        <v>260.62</v>
      </c>
      <c r="G257" s="415">
        <f t="shared" si="101"/>
        <v>0.144788888888889</v>
      </c>
    </row>
    <row r="258" spans="1:7">
      <c r="A258" s="405" t="s">
        <v>233</v>
      </c>
      <c r="B258" s="406" t="s">
        <v>234</v>
      </c>
      <c r="C258" s="407">
        <v>260.62</v>
      </c>
      <c r="D258" s="408">
        <v>22</v>
      </c>
      <c r="E258" s="408">
        <f>D258*C258</f>
        <v>5733.64</v>
      </c>
      <c r="F258" s="408">
        <f>E258/22</f>
        <v>260.62</v>
      </c>
      <c r="G258" s="409">
        <f>F258/1800</f>
        <v>0.144788888888889</v>
      </c>
    </row>
    <row r="259" spans="1:7">
      <c r="A259" s="421"/>
      <c r="B259" s="422"/>
      <c r="C259" s="412"/>
      <c r="D259" s="423"/>
      <c r="E259" s="423"/>
      <c r="F259" s="423"/>
      <c r="G259" s="424"/>
    </row>
    <row r="260" spans="1:7">
      <c r="A260" s="401" t="s">
        <v>98</v>
      </c>
      <c r="B260" s="402"/>
      <c r="C260" s="403">
        <f t="shared" ref="C260:F260" si="102">SUM(C261:C264)</f>
        <v>800.04</v>
      </c>
      <c r="D260" s="403">
        <f t="shared" si="102"/>
        <v>66</v>
      </c>
      <c r="E260" s="403">
        <f t="shared" si="102"/>
        <v>17600.88</v>
      </c>
      <c r="F260" s="403">
        <f t="shared" si="102"/>
        <v>800.04</v>
      </c>
      <c r="G260" s="415">
        <f>SUM(G261:G263)</f>
        <v>0.444466666666667</v>
      </c>
    </row>
    <row r="261" spans="1:7">
      <c r="A261" s="405" t="s">
        <v>235</v>
      </c>
      <c r="B261" s="406" t="s">
        <v>236</v>
      </c>
      <c r="C261" s="407">
        <v>319.99</v>
      </c>
      <c r="D261" s="408">
        <v>22</v>
      </c>
      <c r="E261" s="408">
        <f t="shared" ref="E261:E263" si="103">D261*C261</f>
        <v>7039.78</v>
      </c>
      <c r="F261" s="408">
        <f t="shared" ref="F261:F263" si="104">E261/22</f>
        <v>319.99</v>
      </c>
      <c r="G261" s="409">
        <f t="shared" ref="G261:G263" si="105">F261/1800</f>
        <v>0.177772222222222</v>
      </c>
    </row>
    <row r="262" spans="1:7">
      <c r="A262" s="405" t="s">
        <v>237</v>
      </c>
      <c r="B262" s="406" t="s">
        <v>238</v>
      </c>
      <c r="C262" s="407">
        <v>26.63</v>
      </c>
      <c r="D262" s="408">
        <v>22</v>
      </c>
      <c r="E262" s="408">
        <f t="shared" si="103"/>
        <v>585.86</v>
      </c>
      <c r="F262" s="408">
        <f t="shared" si="104"/>
        <v>26.63</v>
      </c>
      <c r="G262" s="409">
        <f t="shared" si="105"/>
        <v>0.0147944444444444</v>
      </c>
    </row>
    <row r="263" spans="1:7">
      <c r="A263" s="405" t="s">
        <v>239</v>
      </c>
      <c r="B263" s="406" t="s">
        <v>240</v>
      </c>
      <c r="C263" s="407">
        <v>453.42</v>
      </c>
      <c r="D263" s="408">
        <v>22</v>
      </c>
      <c r="E263" s="408">
        <f t="shared" si="103"/>
        <v>9975.24</v>
      </c>
      <c r="F263" s="408">
        <f t="shared" si="104"/>
        <v>453.42</v>
      </c>
      <c r="G263" s="409">
        <f t="shared" si="105"/>
        <v>0.2519</v>
      </c>
    </row>
    <row r="264" spans="1:7">
      <c r="A264" s="410"/>
      <c r="B264" s="411"/>
      <c r="C264" s="412"/>
      <c r="D264" s="413"/>
      <c r="E264" s="413"/>
      <c r="F264" s="413"/>
      <c r="G264" s="414"/>
    </row>
    <row r="265" ht="38.25" spans="1:7">
      <c r="A265" s="396" t="s">
        <v>241</v>
      </c>
      <c r="B265" s="397" t="s">
        <v>242</v>
      </c>
      <c r="C265" s="456">
        <f t="shared" ref="C265:G265" si="106">SUM(C266,C272)</f>
        <v>7719.34</v>
      </c>
      <c r="D265" s="456">
        <f t="shared" si="106"/>
        <v>110</v>
      </c>
      <c r="E265" s="456">
        <f t="shared" si="106"/>
        <v>169825.48</v>
      </c>
      <c r="F265" s="456">
        <f>ROUND(F266+F272,2)</f>
        <v>7719.34</v>
      </c>
      <c r="G265" s="399">
        <f t="shared" si="106"/>
        <v>1.28655666666667</v>
      </c>
    </row>
    <row r="266" spans="1:7">
      <c r="A266" s="401" t="s">
        <v>68</v>
      </c>
      <c r="B266" s="402"/>
      <c r="C266" s="457">
        <f t="shared" ref="C266:F266" si="107">SUM(C267:C271)</f>
        <v>6285.15</v>
      </c>
      <c r="D266" s="457">
        <f t="shared" si="107"/>
        <v>88</v>
      </c>
      <c r="E266" s="457">
        <f t="shared" si="107"/>
        <v>138273.3</v>
      </c>
      <c r="F266" s="457">
        <f t="shared" si="107"/>
        <v>6285.15</v>
      </c>
      <c r="G266" s="415">
        <f>SUM(G267:G270)</f>
        <v>1.047525</v>
      </c>
    </row>
    <row r="267" spans="1:7">
      <c r="A267" s="405" t="s">
        <v>243</v>
      </c>
      <c r="B267" s="406" t="s">
        <v>244</v>
      </c>
      <c r="C267" s="407">
        <v>3463.12</v>
      </c>
      <c r="D267" s="408">
        <v>22</v>
      </c>
      <c r="E267" s="408">
        <f t="shared" ref="E267:E270" si="108">D267*C267</f>
        <v>76188.64</v>
      </c>
      <c r="F267" s="408">
        <f t="shared" ref="F267:F270" si="109">E267/22</f>
        <v>3463.12</v>
      </c>
      <c r="G267" s="409">
        <f t="shared" ref="G267:G270" si="110">F267/6000</f>
        <v>0.577186666666667</v>
      </c>
    </row>
    <row r="268" spans="1:7">
      <c r="A268" s="405" t="s">
        <v>245</v>
      </c>
      <c r="B268" s="406" t="s">
        <v>246</v>
      </c>
      <c r="C268" s="407">
        <v>237.93</v>
      </c>
      <c r="D268" s="408">
        <v>22</v>
      </c>
      <c r="E268" s="408">
        <f t="shared" si="108"/>
        <v>5234.46</v>
      </c>
      <c r="F268" s="408">
        <f t="shared" si="109"/>
        <v>237.93</v>
      </c>
      <c r="G268" s="409">
        <f t="shared" si="110"/>
        <v>0.039655</v>
      </c>
    </row>
    <row r="269" ht="25.5" spans="1:7">
      <c r="A269" s="405" t="s">
        <v>247</v>
      </c>
      <c r="B269" s="406" t="s">
        <v>248</v>
      </c>
      <c r="C269" s="407">
        <v>1780.67</v>
      </c>
      <c r="D269" s="408">
        <v>22</v>
      </c>
      <c r="E269" s="408">
        <f t="shared" si="108"/>
        <v>39174.74</v>
      </c>
      <c r="F269" s="408">
        <f t="shared" si="109"/>
        <v>1780.67</v>
      </c>
      <c r="G269" s="409">
        <f t="shared" si="110"/>
        <v>0.296778333333333</v>
      </c>
    </row>
    <row r="270" spans="1:7">
      <c r="A270" s="405" t="s">
        <v>249</v>
      </c>
      <c r="B270" s="406" t="s">
        <v>250</v>
      </c>
      <c r="C270" s="407">
        <v>803.43</v>
      </c>
      <c r="D270" s="408">
        <v>22</v>
      </c>
      <c r="E270" s="408">
        <f t="shared" si="108"/>
        <v>17675.46</v>
      </c>
      <c r="F270" s="408">
        <f t="shared" si="109"/>
        <v>803.43</v>
      </c>
      <c r="G270" s="409">
        <f t="shared" si="110"/>
        <v>0.133905</v>
      </c>
    </row>
    <row r="271" spans="1:7">
      <c r="A271" s="410"/>
      <c r="B271" s="411"/>
      <c r="C271" s="412"/>
      <c r="D271" s="413"/>
      <c r="E271" s="413"/>
      <c r="F271" s="413"/>
      <c r="G271" s="414"/>
    </row>
    <row r="272" spans="1:7">
      <c r="A272" s="401" t="s">
        <v>84</v>
      </c>
      <c r="B272" s="402"/>
      <c r="C272" s="403">
        <f t="shared" ref="C272:F272" si="111">SUM(C273:C274)</f>
        <v>1434.19</v>
      </c>
      <c r="D272" s="403">
        <f t="shared" si="111"/>
        <v>22</v>
      </c>
      <c r="E272" s="403">
        <f t="shared" si="111"/>
        <v>31552.18</v>
      </c>
      <c r="F272" s="403">
        <f t="shared" si="111"/>
        <v>1434.19</v>
      </c>
      <c r="G272" s="415">
        <f>SUM(G273)</f>
        <v>0.239031666666667</v>
      </c>
    </row>
    <row r="273" spans="1:7">
      <c r="A273" s="405" t="s">
        <v>251</v>
      </c>
      <c r="B273" s="406" t="s">
        <v>252</v>
      </c>
      <c r="C273" s="407">
        <v>1434.19</v>
      </c>
      <c r="D273" s="408">
        <v>22</v>
      </c>
      <c r="E273" s="408">
        <f>D273*C273</f>
        <v>31552.18</v>
      </c>
      <c r="F273" s="408">
        <f>E273/22</f>
        <v>1434.19</v>
      </c>
      <c r="G273" s="409">
        <f>F273/6000</f>
        <v>0.239031666666667</v>
      </c>
    </row>
    <row r="274" spans="1:7">
      <c r="A274" s="421"/>
      <c r="B274" s="422"/>
      <c r="C274" s="412"/>
      <c r="D274" s="423"/>
      <c r="E274" s="423"/>
      <c r="F274" s="423"/>
      <c r="G274" s="424"/>
    </row>
    <row r="275" ht="38.25" spans="1:7">
      <c r="A275" s="396" t="s">
        <v>253</v>
      </c>
      <c r="B275" s="397" t="s">
        <v>254</v>
      </c>
      <c r="C275" s="456">
        <f t="shared" ref="C275:G275" si="112">SUM(C276,C281,C284,C288)</f>
        <v>7173.28</v>
      </c>
      <c r="D275" s="456">
        <f t="shared" si="112"/>
        <v>77</v>
      </c>
      <c r="E275" s="456">
        <f t="shared" si="112"/>
        <v>78906.08</v>
      </c>
      <c r="F275" s="456">
        <f>ROUND(F276+F281+F284+F288,2)</f>
        <v>3586.64</v>
      </c>
      <c r="G275" s="399">
        <f t="shared" si="112"/>
        <v>1.99257777777778</v>
      </c>
    </row>
    <row r="276" spans="1:7">
      <c r="A276" s="401" t="s">
        <v>68</v>
      </c>
      <c r="B276" s="402"/>
      <c r="C276" s="457">
        <f t="shared" ref="C276:F276" si="113">SUM(C277:C280)</f>
        <v>4102.2</v>
      </c>
      <c r="D276" s="457">
        <f t="shared" si="113"/>
        <v>33</v>
      </c>
      <c r="E276" s="457">
        <f t="shared" si="113"/>
        <v>45124.2</v>
      </c>
      <c r="F276" s="457">
        <f t="shared" si="113"/>
        <v>2051.1</v>
      </c>
      <c r="G276" s="415">
        <f>SUM(G277:G279)</f>
        <v>1.1395</v>
      </c>
    </row>
    <row r="277" spans="1:7">
      <c r="A277" s="405" t="s">
        <v>255</v>
      </c>
      <c r="B277" s="406" t="s">
        <v>256</v>
      </c>
      <c r="C277" s="407">
        <v>3237.04</v>
      </c>
      <c r="D277" s="408">
        <v>11</v>
      </c>
      <c r="E277" s="408">
        <f t="shared" ref="E277:E279" si="114">D277*C277</f>
        <v>35607.44</v>
      </c>
      <c r="F277" s="408">
        <f t="shared" ref="F277:F279" si="115">E277/22</f>
        <v>1618.52</v>
      </c>
      <c r="G277" s="409">
        <f t="shared" ref="G277:G279" si="116">F277/1800</f>
        <v>0.899177777777778</v>
      </c>
    </row>
    <row r="278" spans="1:7">
      <c r="A278" s="405" t="s">
        <v>257</v>
      </c>
      <c r="B278" s="406" t="s">
        <v>258</v>
      </c>
      <c r="C278" s="407">
        <v>626.76</v>
      </c>
      <c r="D278" s="408">
        <v>11</v>
      </c>
      <c r="E278" s="408">
        <f t="shared" si="114"/>
        <v>6894.36</v>
      </c>
      <c r="F278" s="408">
        <f t="shared" si="115"/>
        <v>313.38</v>
      </c>
      <c r="G278" s="409">
        <f t="shared" si="116"/>
        <v>0.1741</v>
      </c>
    </row>
    <row r="279" spans="1:7">
      <c r="A279" s="405" t="s">
        <v>259</v>
      </c>
      <c r="B279" s="406" t="s">
        <v>260</v>
      </c>
      <c r="C279" s="407">
        <v>238.4</v>
      </c>
      <c r="D279" s="408">
        <v>11</v>
      </c>
      <c r="E279" s="408">
        <f t="shared" si="114"/>
        <v>2622.4</v>
      </c>
      <c r="F279" s="408">
        <f t="shared" si="115"/>
        <v>119.2</v>
      </c>
      <c r="G279" s="409">
        <f t="shared" si="116"/>
        <v>0.0662222222222222</v>
      </c>
    </row>
    <row r="280" spans="1:7">
      <c r="A280" s="410"/>
      <c r="B280" s="411"/>
      <c r="C280" s="412"/>
      <c r="D280" s="413"/>
      <c r="E280" s="413"/>
      <c r="F280" s="413"/>
      <c r="G280" s="414"/>
    </row>
    <row r="281" spans="1:7">
      <c r="A281" s="401" t="s">
        <v>84</v>
      </c>
      <c r="B281" s="402"/>
      <c r="C281" s="458">
        <f t="shared" ref="C281:G281" si="117">SUM(C282)</f>
        <v>2551.86</v>
      </c>
      <c r="D281" s="458">
        <f t="shared" si="117"/>
        <v>11</v>
      </c>
      <c r="E281" s="458">
        <f t="shared" si="117"/>
        <v>28070.46</v>
      </c>
      <c r="F281" s="458">
        <f t="shared" si="117"/>
        <v>1275.93</v>
      </c>
      <c r="G281" s="415">
        <f t="shared" si="117"/>
        <v>0.70885</v>
      </c>
    </row>
    <row r="282" spans="1:7">
      <c r="A282" s="405" t="s">
        <v>261</v>
      </c>
      <c r="B282" s="406" t="s">
        <v>256</v>
      </c>
      <c r="C282" s="407">
        <v>2551.86</v>
      </c>
      <c r="D282" s="408">
        <v>11</v>
      </c>
      <c r="E282" s="408">
        <f>D282*C282</f>
        <v>28070.46</v>
      </c>
      <c r="F282" s="408">
        <f>E282/22</f>
        <v>1275.93</v>
      </c>
      <c r="G282" s="409">
        <f>F282/1800</f>
        <v>0.70885</v>
      </c>
    </row>
    <row r="283" spans="1:7">
      <c r="A283" s="459"/>
      <c r="B283" s="460"/>
      <c r="C283" s="412"/>
      <c r="D283" s="423"/>
      <c r="E283" s="423"/>
      <c r="F283" s="423"/>
      <c r="G283" s="424"/>
    </row>
    <row r="284" spans="1:7">
      <c r="A284" s="401" t="s">
        <v>90</v>
      </c>
      <c r="B284" s="402"/>
      <c r="C284" s="458">
        <f t="shared" ref="C284:F284" si="118">SUM(C285,C286)</f>
        <v>258.6</v>
      </c>
      <c r="D284" s="458">
        <f t="shared" si="118"/>
        <v>22</v>
      </c>
      <c r="E284" s="458">
        <f t="shared" si="118"/>
        <v>2844.6</v>
      </c>
      <c r="F284" s="458">
        <f t="shared" si="118"/>
        <v>129.3</v>
      </c>
      <c r="G284" s="415">
        <f>SUM(G285:G286)</f>
        <v>0.0718333333333333</v>
      </c>
    </row>
    <row r="285" spans="1:7">
      <c r="A285" s="405" t="s">
        <v>262</v>
      </c>
      <c r="B285" s="406" t="s">
        <v>263</v>
      </c>
      <c r="C285" s="407">
        <v>148.8</v>
      </c>
      <c r="D285" s="408">
        <v>11</v>
      </c>
      <c r="E285" s="408">
        <f t="shared" ref="E285:E286" si="119">D285*C285</f>
        <v>1636.8</v>
      </c>
      <c r="F285" s="408">
        <f t="shared" ref="F285:F286" si="120">E285/22</f>
        <v>74.4</v>
      </c>
      <c r="G285" s="409">
        <f t="shared" ref="G285:G286" si="121">F285/1800</f>
        <v>0.0413333333333333</v>
      </c>
    </row>
    <row r="286" spans="1:7">
      <c r="A286" s="405" t="s">
        <v>264</v>
      </c>
      <c r="B286" s="406" t="s">
        <v>265</v>
      </c>
      <c r="C286" s="407">
        <v>109.8</v>
      </c>
      <c r="D286" s="408">
        <v>11</v>
      </c>
      <c r="E286" s="408">
        <f t="shared" si="119"/>
        <v>1207.8</v>
      </c>
      <c r="F286" s="408">
        <f t="shared" si="120"/>
        <v>54.9</v>
      </c>
      <c r="G286" s="409">
        <f t="shared" si="121"/>
        <v>0.0305</v>
      </c>
    </row>
    <row r="287" spans="1:7">
      <c r="A287" s="410"/>
      <c r="B287" s="411"/>
      <c r="C287" s="412"/>
      <c r="D287" s="413"/>
      <c r="E287" s="413"/>
      <c r="F287" s="413"/>
      <c r="G287" s="414"/>
    </row>
    <row r="288" spans="1:7">
      <c r="A288" s="401" t="s">
        <v>95</v>
      </c>
      <c r="B288" s="402"/>
      <c r="C288" s="458">
        <f t="shared" ref="C288:F288" si="122">C289</f>
        <v>260.62</v>
      </c>
      <c r="D288" s="458">
        <f t="shared" si="122"/>
        <v>11</v>
      </c>
      <c r="E288" s="458">
        <f t="shared" si="122"/>
        <v>2866.82</v>
      </c>
      <c r="F288" s="458">
        <f t="shared" si="122"/>
        <v>130.31</v>
      </c>
      <c r="G288" s="415">
        <f>SUM(G289)</f>
        <v>0.0723944444444444</v>
      </c>
    </row>
    <row r="289" spans="1:7">
      <c r="A289" s="405" t="s">
        <v>266</v>
      </c>
      <c r="B289" s="406" t="s">
        <v>267</v>
      </c>
      <c r="C289" s="407">
        <v>260.62</v>
      </c>
      <c r="D289" s="408">
        <v>11</v>
      </c>
      <c r="E289" s="408">
        <f>D289*C289</f>
        <v>2866.82</v>
      </c>
      <c r="F289" s="408">
        <f>E289/22</f>
        <v>130.31</v>
      </c>
      <c r="G289" s="409">
        <f>F289/1800</f>
        <v>0.0723944444444444</v>
      </c>
    </row>
    <row r="290" spans="1:7">
      <c r="A290" s="421"/>
      <c r="B290" s="422"/>
      <c r="C290" s="412"/>
      <c r="D290" s="423"/>
      <c r="E290" s="423"/>
      <c r="F290" s="423"/>
      <c r="G290" s="424"/>
    </row>
    <row r="291" ht="38.25" spans="1:7">
      <c r="A291" s="396" t="s">
        <v>268</v>
      </c>
      <c r="B291" s="461" t="s">
        <v>269</v>
      </c>
      <c r="C291" s="456">
        <f t="shared" ref="C291:G291" si="123">SUM(C292,C296,C302,C307,C310)</f>
        <v>65217.07</v>
      </c>
      <c r="D291" s="456">
        <f t="shared" si="123"/>
        <v>7.91666666666667</v>
      </c>
      <c r="E291" s="456">
        <f t="shared" si="123"/>
        <v>51308.1008333333</v>
      </c>
      <c r="F291" s="456">
        <f>ROUND(F292+F296+F302+F307+F310,2)</f>
        <v>2332.19</v>
      </c>
      <c r="G291" s="399">
        <f t="shared" si="123"/>
        <v>0.863772741301908</v>
      </c>
    </row>
    <row r="292" spans="1:7">
      <c r="A292" s="401" t="s">
        <v>68</v>
      </c>
      <c r="B292" s="402"/>
      <c r="C292" s="403">
        <f t="shared" ref="C292:F292" si="124">SUM(C293:C295)</f>
        <v>3101.38</v>
      </c>
      <c r="D292" s="403">
        <f t="shared" si="124"/>
        <v>0.5</v>
      </c>
      <c r="E292" s="403">
        <f t="shared" si="124"/>
        <v>775.345</v>
      </c>
      <c r="F292" s="403">
        <f t="shared" si="124"/>
        <v>35.2429545454545</v>
      </c>
      <c r="G292" s="415">
        <f>SUM(G293:G294)</f>
        <v>0.0130529461279461</v>
      </c>
    </row>
    <row r="293" ht="25.5" spans="1:7">
      <c r="A293" s="405" t="s">
        <v>270</v>
      </c>
      <c r="B293" s="406" t="s">
        <v>271</v>
      </c>
      <c r="C293" s="407">
        <v>2673.54</v>
      </c>
      <c r="D293" s="408">
        <v>0.25</v>
      </c>
      <c r="E293" s="408">
        <f t="shared" ref="E293:E294" si="125">D293*C293</f>
        <v>668.385</v>
      </c>
      <c r="F293" s="408">
        <f t="shared" ref="F293:F294" si="126">E293/22</f>
        <v>30.3811363636364</v>
      </c>
      <c r="G293" s="409">
        <f t="shared" ref="G293:G294" si="127">F293/2700</f>
        <v>0.0112522727272727</v>
      </c>
    </row>
    <row r="294" ht="25.5" spans="1:7">
      <c r="A294" s="405" t="s">
        <v>272</v>
      </c>
      <c r="B294" s="406" t="s">
        <v>273</v>
      </c>
      <c r="C294" s="407">
        <v>427.84</v>
      </c>
      <c r="D294" s="408">
        <v>0.25</v>
      </c>
      <c r="E294" s="408">
        <f t="shared" si="125"/>
        <v>106.96</v>
      </c>
      <c r="F294" s="408">
        <f t="shared" si="126"/>
        <v>4.86181818181818</v>
      </c>
      <c r="G294" s="409">
        <f t="shared" si="127"/>
        <v>0.0018006734006734</v>
      </c>
    </row>
    <row r="295" spans="1:7">
      <c r="A295" s="410"/>
      <c r="B295" s="411"/>
      <c r="C295" s="412"/>
      <c r="D295" s="413"/>
      <c r="E295" s="413"/>
      <c r="F295" s="413"/>
      <c r="G295" s="414"/>
    </row>
    <row r="296" spans="1:7">
      <c r="A296" s="401" t="s">
        <v>84</v>
      </c>
      <c r="B296" s="402"/>
      <c r="C296" s="403">
        <f t="shared" ref="C296:F296" si="128">SUM(C297:C301)</f>
        <v>13202.83</v>
      </c>
      <c r="D296" s="403">
        <f t="shared" si="128"/>
        <v>4.25</v>
      </c>
      <c r="E296" s="403">
        <f t="shared" si="128"/>
        <v>10982.4025</v>
      </c>
      <c r="F296" s="403">
        <f t="shared" si="128"/>
        <v>499.200113636364</v>
      </c>
      <c r="G296" s="415">
        <f>SUM(G297:G300)</f>
        <v>0.184888930976431</v>
      </c>
    </row>
    <row r="297" ht="25.5" spans="1:7">
      <c r="A297" s="405" t="s">
        <v>272</v>
      </c>
      <c r="B297" s="406" t="s">
        <v>274</v>
      </c>
      <c r="C297" s="407">
        <v>6620.57</v>
      </c>
      <c r="D297" s="408">
        <v>0.25</v>
      </c>
      <c r="E297" s="408">
        <f t="shared" ref="E297:E300" si="129">D297*C297</f>
        <v>1655.1425</v>
      </c>
      <c r="F297" s="408">
        <f t="shared" ref="F297:F300" si="130">E297/22</f>
        <v>75.23375</v>
      </c>
      <c r="G297" s="409">
        <f t="shared" ref="G297:G300" si="131">F297/2700</f>
        <v>0.0278643518518519</v>
      </c>
    </row>
    <row r="298" spans="1:7">
      <c r="A298" s="405" t="s">
        <v>275</v>
      </c>
      <c r="B298" s="406" t="s">
        <v>276</v>
      </c>
      <c r="C298" s="407">
        <v>2465.61</v>
      </c>
      <c r="D298" s="408">
        <v>1</v>
      </c>
      <c r="E298" s="408">
        <f t="shared" si="129"/>
        <v>2465.61</v>
      </c>
      <c r="F298" s="408">
        <f t="shared" si="130"/>
        <v>112.073181818182</v>
      </c>
      <c r="G298" s="409">
        <f t="shared" si="131"/>
        <v>0.0415085858585859</v>
      </c>
    </row>
    <row r="299" spans="1:7">
      <c r="A299" s="405" t="s">
        <v>277</v>
      </c>
      <c r="B299" s="406" t="s">
        <v>278</v>
      </c>
      <c r="C299" s="407">
        <v>2745</v>
      </c>
      <c r="D299" s="408">
        <v>2</v>
      </c>
      <c r="E299" s="408">
        <f t="shared" si="129"/>
        <v>5490</v>
      </c>
      <c r="F299" s="408">
        <f t="shared" si="130"/>
        <v>249.545454545455</v>
      </c>
      <c r="G299" s="409">
        <f t="shared" si="131"/>
        <v>0.0924242424242424</v>
      </c>
    </row>
    <row r="300" spans="1:7">
      <c r="A300" s="405" t="s">
        <v>279</v>
      </c>
      <c r="B300" s="406" t="s">
        <v>280</v>
      </c>
      <c r="C300" s="407">
        <v>1371.65</v>
      </c>
      <c r="D300" s="408">
        <v>1</v>
      </c>
      <c r="E300" s="408">
        <f t="shared" si="129"/>
        <v>1371.65</v>
      </c>
      <c r="F300" s="408">
        <f t="shared" si="130"/>
        <v>62.3477272727273</v>
      </c>
      <c r="G300" s="409">
        <f t="shared" si="131"/>
        <v>0.0230917508417508</v>
      </c>
    </row>
    <row r="301" spans="1:7">
      <c r="A301" s="410"/>
      <c r="B301" s="411"/>
      <c r="C301" s="412"/>
      <c r="D301" s="413"/>
      <c r="E301" s="413"/>
      <c r="F301" s="413"/>
      <c r="G301" s="414"/>
    </row>
    <row r="302" spans="1:7">
      <c r="A302" s="401" t="s">
        <v>90</v>
      </c>
      <c r="B302" s="402"/>
      <c r="C302" s="403">
        <f t="shared" ref="C302:G302" si="132">SUM(C303:C305)</f>
        <v>20293.7</v>
      </c>
      <c r="D302" s="403">
        <f t="shared" si="132"/>
        <v>1.41666666666667</v>
      </c>
      <c r="E302" s="403">
        <f t="shared" si="132"/>
        <v>17048.2533333333</v>
      </c>
      <c r="F302" s="403">
        <f t="shared" si="132"/>
        <v>774.920606060606</v>
      </c>
      <c r="G302" s="415">
        <f t="shared" si="132"/>
        <v>0.287007631874299</v>
      </c>
    </row>
    <row r="303" ht="38.25" spans="1:7">
      <c r="A303" s="405" t="s">
        <v>281</v>
      </c>
      <c r="B303" s="406" t="s">
        <v>282</v>
      </c>
      <c r="C303" s="407">
        <f>99.6+474.05+553.23+267.6+490.4+117.2+820.84+5040.28+8445.03</f>
        <v>16308.23</v>
      </c>
      <c r="D303" s="408">
        <v>1</v>
      </c>
      <c r="E303" s="408">
        <f t="shared" ref="E303:E305" si="133">D303*C303</f>
        <v>16308.23</v>
      </c>
      <c r="F303" s="408">
        <f t="shared" ref="F303:F305" si="134">E303/22</f>
        <v>741.283181818182</v>
      </c>
      <c r="G303" s="409">
        <f t="shared" ref="G303:G305" si="135">F303/2700</f>
        <v>0.274549326599327</v>
      </c>
    </row>
    <row r="304" ht="25.5" spans="1:7">
      <c r="A304" s="405" t="s">
        <v>283</v>
      </c>
      <c r="B304" s="406" t="s">
        <v>284</v>
      </c>
      <c r="C304" s="407">
        <v>909.34</v>
      </c>
      <c r="D304" s="408">
        <v>0.25</v>
      </c>
      <c r="E304" s="408">
        <f t="shared" si="133"/>
        <v>227.335</v>
      </c>
      <c r="F304" s="408">
        <f t="shared" si="134"/>
        <v>10.3334090909091</v>
      </c>
      <c r="G304" s="409">
        <f t="shared" si="135"/>
        <v>0.00382718855218855</v>
      </c>
    </row>
    <row r="305" spans="1:7">
      <c r="A305" s="405" t="s">
        <v>285</v>
      </c>
      <c r="B305" s="406" t="s">
        <v>286</v>
      </c>
      <c r="C305" s="407">
        <v>3076.13</v>
      </c>
      <c r="D305" s="408">
        <f>1/6</f>
        <v>0.166666666666667</v>
      </c>
      <c r="E305" s="408">
        <f t="shared" si="133"/>
        <v>512.688333333333</v>
      </c>
      <c r="F305" s="408">
        <f t="shared" si="134"/>
        <v>23.3040151515151</v>
      </c>
      <c r="G305" s="409">
        <f t="shared" si="135"/>
        <v>0.00863111672278339</v>
      </c>
    </row>
    <row r="306" spans="1:7">
      <c r="A306" s="425"/>
      <c r="B306" s="411"/>
      <c r="C306" s="412"/>
      <c r="D306" s="413"/>
      <c r="E306" s="413"/>
      <c r="F306" s="413"/>
      <c r="G306" s="414"/>
    </row>
    <row r="307" spans="1:7">
      <c r="A307" s="401" t="s">
        <v>95</v>
      </c>
      <c r="B307" s="402"/>
      <c r="C307" s="403">
        <f t="shared" ref="C307:G307" si="136">SUM(C308)</f>
        <v>20463.08</v>
      </c>
      <c r="D307" s="403">
        <f t="shared" si="136"/>
        <v>1</v>
      </c>
      <c r="E307" s="403">
        <f t="shared" si="136"/>
        <v>20463.08</v>
      </c>
      <c r="F307" s="403">
        <f t="shared" si="136"/>
        <v>930.14</v>
      </c>
      <c r="G307" s="415">
        <f t="shared" si="136"/>
        <v>0.344496296296296</v>
      </c>
    </row>
    <row r="308" ht="25.5" spans="1:7">
      <c r="A308" s="405" t="s">
        <v>287</v>
      </c>
      <c r="B308" s="406" t="s">
        <v>288</v>
      </c>
      <c r="C308" s="407">
        <v>20463.08</v>
      </c>
      <c r="D308" s="408">
        <v>1</v>
      </c>
      <c r="E308" s="408">
        <f>D308*C308</f>
        <v>20463.08</v>
      </c>
      <c r="F308" s="408">
        <f>E308/22</f>
        <v>930.14</v>
      </c>
      <c r="G308" s="409">
        <f>F308/2700</f>
        <v>0.344496296296296</v>
      </c>
    </row>
    <row r="309" spans="1:7">
      <c r="A309" s="421"/>
      <c r="B309" s="422"/>
      <c r="C309" s="412"/>
      <c r="D309" s="423"/>
      <c r="E309" s="423"/>
      <c r="F309" s="423"/>
      <c r="G309" s="424"/>
    </row>
    <row r="310" spans="1:7">
      <c r="A310" s="401" t="s">
        <v>98</v>
      </c>
      <c r="B310" s="402"/>
      <c r="C310" s="403">
        <f t="shared" ref="C310:F310" si="137">SUM(C311:C314)</f>
        <v>8156.08</v>
      </c>
      <c r="D310" s="403">
        <f t="shared" si="137"/>
        <v>0.75</v>
      </c>
      <c r="E310" s="403">
        <f t="shared" si="137"/>
        <v>2039.02</v>
      </c>
      <c r="F310" s="403">
        <f t="shared" si="137"/>
        <v>92.6827272727273</v>
      </c>
      <c r="G310" s="415">
        <f>SUM(G311:G313)</f>
        <v>0.034326936026936</v>
      </c>
    </row>
    <row r="311" ht="38.25" spans="1:7">
      <c r="A311" s="405" t="s">
        <v>289</v>
      </c>
      <c r="B311" s="406" t="s">
        <v>290</v>
      </c>
      <c r="C311" s="407">
        <v>5192.56</v>
      </c>
      <c r="D311" s="408">
        <v>0.25</v>
      </c>
      <c r="E311" s="408">
        <f t="shared" ref="E311:E313" si="138">D311*C311</f>
        <v>1298.14</v>
      </c>
      <c r="F311" s="408">
        <f t="shared" ref="F311:F313" si="139">E311/22</f>
        <v>59.0063636363636</v>
      </c>
      <c r="G311" s="409">
        <f t="shared" ref="G311:G313" si="140">F311/2700</f>
        <v>0.0218542087542088</v>
      </c>
    </row>
    <row r="312" spans="1:7">
      <c r="A312" s="405" t="s">
        <v>291</v>
      </c>
      <c r="B312" s="406" t="s">
        <v>292</v>
      </c>
      <c r="C312" s="407">
        <v>381.72</v>
      </c>
      <c r="D312" s="408">
        <v>0.25</v>
      </c>
      <c r="E312" s="408">
        <f t="shared" si="138"/>
        <v>95.43</v>
      </c>
      <c r="F312" s="408">
        <f t="shared" si="139"/>
        <v>4.33772727272727</v>
      </c>
      <c r="G312" s="409">
        <f t="shared" si="140"/>
        <v>0.00160656565656566</v>
      </c>
    </row>
    <row r="313" ht="25.5" spans="1:7">
      <c r="A313" s="462" t="s">
        <v>293</v>
      </c>
      <c r="B313" s="406" t="s">
        <v>294</v>
      </c>
      <c r="C313" s="407">
        <v>2581.8</v>
      </c>
      <c r="D313" s="408">
        <v>0.25</v>
      </c>
      <c r="E313" s="408">
        <f t="shared" si="138"/>
        <v>645.45</v>
      </c>
      <c r="F313" s="408">
        <f t="shared" si="139"/>
        <v>29.3386363636364</v>
      </c>
      <c r="G313" s="409">
        <f t="shared" si="140"/>
        <v>0.0108661616161616</v>
      </c>
    </row>
    <row r="314" spans="1:7">
      <c r="A314" s="410"/>
      <c r="B314" s="411"/>
      <c r="C314" s="412"/>
      <c r="D314" s="413"/>
      <c r="E314" s="413"/>
      <c r="F314" s="413"/>
      <c r="G314" s="414"/>
    </row>
    <row r="315" ht="51" spans="1:7">
      <c r="A315" s="463" t="s">
        <v>295</v>
      </c>
      <c r="B315" s="464" t="s">
        <v>296</v>
      </c>
      <c r="C315" s="456">
        <f t="shared" ref="C315:G315" si="141">SUM(C316)</f>
        <v>7601</v>
      </c>
      <c r="D315" s="456">
        <f t="shared" si="141"/>
        <v>22</v>
      </c>
      <c r="E315" s="456">
        <f t="shared" si="141"/>
        <v>167222</v>
      </c>
      <c r="F315" s="456">
        <f>ROUND(F316,2)</f>
        <v>7601</v>
      </c>
      <c r="G315" s="399">
        <f t="shared" si="141"/>
        <v>0.07601</v>
      </c>
    </row>
    <row r="316" spans="1:7">
      <c r="A316" s="401" t="s">
        <v>98</v>
      </c>
      <c r="B316" s="402"/>
      <c r="C316" s="403">
        <f t="shared" ref="C316:F316" si="142">SUM(C317:C318)</f>
        <v>7601</v>
      </c>
      <c r="D316" s="403">
        <f t="shared" si="142"/>
        <v>22</v>
      </c>
      <c r="E316" s="403">
        <f t="shared" si="142"/>
        <v>167222</v>
      </c>
      <c r="F316" s="403">
        <f t="shared" si="142"/>
        <v>7601</v>
      </c>
      <c r="G316" s="415">
        <f>SUM(G317)</f>
        <v>0.07601</v>
      </c>
    </row>
    <row r="317" spans="1:7">
      <c r="A317" s="405" t="s">
        <v>297</v>
      </c>
      <c r="B317" s="406" t="s">
        <v>298</v>
      </c>
      <c r="C317" s="407">
        <v>7601</v>
      </c>
      <c r="D317" s="408">
        <v>22</v>
      </c>
      <c r="E317" s="408">
        <f>D317*C317</f>
        <v>167222</v>
      </c>
      <c r="F317" s="408">
        <f>E317/22</f>
        <v>7601</v>
      </c>
      <c r="G317" s="409">
        <f>F317/100000</f>
        <v>0.07601</v>
      </c>
    </row>
    <row r="318" spans="1:10">
      <c r="A318" s="465"/>
      <c r="B318" s="466"/>
      <c r="C318" s="467"/>
      <c r="D318" s="468" t="s">
        <v>299</v>
      </c>
      <c r="E318" s="468"/>
      <c r="F318" s="468"/>
      <c r="G318" s="469"/>
      <c r="J318" s="455"/>
    </row>
    <row r="319" spans="1:10">
      <c r="A319" s="470">
        <f>SUM(C239,C115)</f>
        <v>124661.29</v>
      </c>
      <c r="B319" s="471"/>
      <c r="C319" s="471"/>
      <c r="D319" s="471"/>
      <c r="E319" s="471"/>
      <c r="F319" s="471"/>
      <c r="G319" s="472">
        <f>SUM(G239,G115)</f>
        <v>38</v>
      </c>
      <c r="J319" s="455"/>
    </row>
    <row r="320" ht="15" customHeight="1" spans="1:10">
      <c r="A320" s="473" t="s">
        <v>300</v>
      </c>
      <c r="B320" s="473"/>
      <c r="C320" s="473"/>
      <c r="D320" s="473"/>
      <c r="E320" s="473"/>
      <c r="F320" s="473"/>
      <c r="G320" s="474">
        <f>G319</f>
        <v>38</v>
      </c>
      <c r="J320" s="455"/>
    </row>
    <row r="321" customHeight="1" spans="1:10">
      <c r="A321" s="475" t="s">
        <v>301</v>
      </c>
      <c r="B321" s="475"/>
      <c r="C321" s="475"/>
      <c r="D321" s="475"/>
      <c r="E321" s="475"/>
      <c r="F321" s="475"/>
      <c r="G321" s="476">
        <f>ROUNDDOWN(G320/30,0)</f>
        <v>1</v>
      </c>
      <c r="J321" s="455"/>
    </row>
    <row r="322" ht="15" customHeight="1" spans="1:2">
      <c r="A322" s="322"/>
      <c r="B322" s="322"/>
    </row>
    <row r="324" customHeight="1" spans="2:6">
      <c r="B324" s="477" t="s">
        <v>302</v>
      </c>
      <c r="C324" s="477"/>
      <c r="F324" s="455"/>
    </row>
    <row r="325" ht="15" customHeight="1" spans="1:1">
      <c r="A325" s="321"/>
    </row>
    <row r="326" customHeight="1" spans="2:6">
      <c r="B326" s="478" t="s">
        <v>303</v>
      </c>
      <c r="C326" s="478"/>
      <c r="D326" s="478"/>
      <c r="E326" s="478"/>
      <c r="F326" s="478"/>
    </row>
    <row r="327" customHeight="1" spans="1:6">
      <c r="A327" s="321"/>
      <c r="B327" s="478"/>
      <c r="C327" s="478"/>
      <c r="D327" s="478"/>
      <c r="E327" s="478"/>
      <c r="F327" s="478"/>
    </row>
    <row r="328" spans="1:6">
      <c r="A328" s="321"/>
      <c r="B328" s="478"/>
      <c r="C328" s="478"/>
      <c r="D328" s="478"/>
      <c r="E328" s="478"/>
      <c r="F328" s="478"/>
    </row>
    <row r="329" spans="1:6">
      <c r="A329" s="321"/>
      <c r="B329" s="479"/>
      <c r="C329" s="479"/>
      <c r="D329" s="479"/>
      <c r="E329" s="479"/>
      <c r="F329" s="479"/>
    </row>
    <row r="330" customHeight="1" spans="1:6">
      <c r="A330" s="321"/>
      <c r="B330" s="478" t="s">
        <v>304</v>
      </c>
      <c r="C330" s="478"/>
      <c r="D330" s="478"/>
      <c r="E330" s="478"/>
      <c r="F330" s="478"/>
    </row>
    <row r="331" spans="1:6">
      <c r="A331" s="321"/>
      <c r="B331" s="478"/>
      <c r="C331" s="478"/>
      <c r="D331" s="478"/>
      <c r="E331" s="478"/>
      <c r="F331" s="478"/>
    </row>
    <row r="332" customHeight="1" spans="1:6">
      <c r="A332" s="321"/>
      <c r="B332" s="478"/>
      <c r="C332" s="478"/>
      <c r="D332" s="478"/>
      <c r="E332" s="478"/>
      <c r="F332" s="478"/>
    </row>
    <row r="333" spans="1:6">
      <c r="A333" s="321"/>
      <c r="B333" s="479"/>
      <c r="C333" s="479"/>
      <c r="D333" s="479"/>
      <c r="E333" s="479"/>
      <c r="F333" s="479"/>
    </row>
    <row r="334" customHeight="1" spans="2:6">
      <c r="B334" s="480" t="s">
        <v>305</v>
      </c>
      <c r="C334" s="480"/>
      <c r="D334" s="480"/>
      <c r="E334" s="480"/>
      <c r="F334" s="480"/>
    </row>
    <row r="335" ht="10.5" customHeight="1" spans="1:1">
      <c r="A335" s="321"/>
    </row>
    <row r="336" ht="60" customHeight="1" spans="2:6">
      <c r="B336" s="481" t="s">
        <v>306</v>
      </c>
      <c r="C336" s="481"/>
      <c r="D336" s="481"/>
      <c r="E336" s="481"/>
      <c r="F336" s="481"/>
    </row>
    <row r="337" ht="13.5" customHeight="1" spans="1:4">
      <c r="A337" s="321"/>
      <c r="C337" s="482"/>
      <c r="D337" s="482"/>
    </row>
    <row r="338" customHeight="1" spans="1:6">
      <c r="A338" s="321"/>
      <c r="B338" s="481" t="s">
        <v>307</v>
      </c>
      <c r="C338" s="481"/>
      <c r="D338" s="481"/>
      <c r="E338" s="481"/>
      <c r="F338" s="481"/>
    </row>
    <row r="339" customHeight="1" spans="1:6">
      <c r="A339" s="321"/>
      <c r="B339" s="481"/>
      <c r="C339" s="481"/>
      <c r="D339" s="481"/>
      <c r="E339" s="481"/>
      <c r="F339" s="481"/>
    </row>
    <row r="340" spans="1:6">
      <c r="A340" s="321"/>
      <c r="B340" s="481"/>
      <c r="C340" s="481"/>
      <c r="D340" s="481"/>
      <c r="E340" s="481"/>
      <c r="F340" s="481"/>
    </row>
    <row r="341" ht="36.75" customHeight="1" spans="1:6">
      <c r="A341" s="321"/>
      <c r="B341" s="481"/>
      <c r="C341" s="481"/>
      <c r="D341" s="481"/>
      <c r="E341" s="481"/>
      <c r="F341" s="481"/>
    </row>
    <row r="342" customHeight="1" spans="1:6">
      <c r="A342" s="321"/>
      <c r="B342" s="483"/>
      <c r="C342" s="483"/>
      <c r="D342" s="483"/>
      <c r="E342" s="483"/>
      <c r="F342" s="483"/>
    </row>
    <row r="343" customHeight="1" spans="1:6">
      <c r="A343" s="321"/>
      <c r="B343" s="481" t="s">
        <v>308</v>
      </c>
      <c r="C343" s="481"/>
      <c r="D343" s="481"/>
      <c r="E343" s="481"/>
      <c r="F343" s="481"/>
    </row>
    <row r="344" customHeight="1" spans="1:6">
      <c r="A344" s="321"/>
      <c r="B344" s="481"/>
      <c r="C344" s="481"/>
      <c r="D344" s="481"/>
      <c r="E344" s="481"/>
      <c r="F344" s="481"/>
    </row>
    <row r="345" customHeight="1" spans="1:6">
      <c r="A345" s="321"/>
      <c r="B345" s="481"/>
      <c r="C345" s="481"/>
      <c r="D345" s="481"/>
      <c r="E345" s="481"/>
      <c r="F345" s="481"/>
    </row>
    <row r="346" customHeight="1" spans="1:6">
      <c r="A346" s="321"/>
      <c r="B346" s="481"/>
      <c r="C346" s="481"/>
      <c r="D346" s="481"/>
      <c r="E346" s="481"/>
      <c r="F346" s="481"/>
    </row>
    <row r="347" customHeight="1" spans="1:6">
      <c r="A347" s="321"/>
      <c r="B347" s="483"/>
      <c r="C347" s="483"/>
      <c r="D347" s="483"/>
      <c r="E347" s="483"/>
      <c r="F347" s="483"/>
    </row>
    <row r="348" ht="23.25" customHeight="1" spans="1:6">
      <c r="A348" s="321"/>
      <c r="B348" s="484" t="s">
        <v>309</v>
      </c>
      <c r="C348" s="484"/>
      <c r="D348" s="484"/>
      <c r="E348" s="484"/>
      <c r="F348" s="484"/>
    </row>
    <row r="349" ht="30" customHeight="1" spans="1:6">
      <c r="A349" s="321"/>
      <c r="B349" s="484"/>
      <c r="C349" s="484"/>
      <c r="D349" s="484"/>
      <c r="E349" s="484"/>
      <c r="F349" s="484"/>
    </row>
    <row r="350" spans="1:6">
      <c r="A350" s="321"/>
      <c r="B350" s="484"/>
      <c r="C350" s="484"/>
      <c r="D350" s="484"/>
      <c r="E350" s="484"/>
      <c r="F350" s="484"/>
    </row>
    <row r="351" ht="3" customHeight="1" spans="1:5">
      <c r="A351" s="321"/>
      <c r="B351" s="321"/>
      <c r="C351" s="321"/>
      <c r="D351" s="321"/>
      <c r="E351" s="321"/>
    </row>
  </sheetData>
  <mergeCells count="168">
    <mergeCell ref="A2:F2"/>
    <mergeCell ref="A4:B4"/>
    <mergeCell ref="C7:D7"/>
    <mergeCell ref="C8:D8"/>
    <mergeCell ref="C9:D9"/>
    <mergeCell ref="C13:D13"/>
    <mergeCell ref="C14:D14"/>
    <mergeCell ref="C15:D15"/>
    <mergeCell ref="C19:D19"/>
    <mergeCell ref="C20:D20"/>
    <mergeCell ref="C21:D21"/>
    <mergeCell ref="C25:D25"/>
    <mergeCell ref="C26:D26"/>
    <mergeCell ref="C27:D27"/>
    <mergeCell ref="C31:D31"/>
    <mergeCell ref="C32:D32"/>
    <mergeCell ref="C33:D33"/>
    <mergeCell ref="C37:D37"/>
    <mergeCell ref="C38:D38"/>
    <mergeCell ref="C39:D39"/>
    <mergeCell ref="C43:D43"/>
    <mergeCell ref="C44:D44"/>
    <mergeCell ref="C45:D45"/>
    <mergeCell ref="C49:D49"/>
    <mergeCell ref="C50:D50"/>
    <mergeCell ref="C51:D51"/>
    <mergeCell ref="C55:D55"/>
    <mergeCell ref="C56:D56"/>
    <mergeCell ref="C57:D57"/>
    <mergeCell ref="C61:D61"/>
    <mergeCell ref="C62:D62"/>
    <mergeCell ref="C63:D63"/>
    <mergeCell ref="C67:D67"/>
    <mergeCell ref="C68:D68"/>
    <mergeCell ref="C69:D69"/>
    <mergeCell ref="A73:B73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F108"/>
    <mergeCell ref="C109:F109"/>
    <mergeCell ref="C110:F110"/>
    <mergeCell ref="A112:G112"/>
    <mergeCell ref="A117:B117"/>
    <mergeCell ref="A128:B128"/>
    <mergeCell ref="A133:B133"/>
    <mergeCell ref="A137:B137"/>
    <mergeCell ref="A140:B140"/>
    <mergeCell ref="A154:B154"/>
    <mergeCell ref="A158:B158"/>
    <mergeCell ref="A163:B163"/>
    <mergeCell ref="A169:B169"/>
    <mergeCell ref="A173:B173"/>
    <mergeCell ref="A177:B177"/>
    <mergeCell ref="A180:B180"/>
    <mergeCell ref="A185:B185"/>
    <mergeCell ref="A192:B192"/>
    <mergeCell ref="A197:B197"/>
    <mergeCell ref="A204:B204"/>
    <mergeCell ref="A208:B208"/>
    <mergeCell ref="A213:B213"/>
    <mergeCell ref="A220:B220"/>
    <mergeCell ref="A224:B224"/>
    <mergeCell ref="A230:B230"/>
    <mergeCell ref="A234:B234"/>
    <mergeCell ref="A241:B241"/>
    <mergeCell ref="A246:B246"/>
    <mergeCell ref="A249:B249"/>
    <mergeCell ref="A257:B257"/>
    <mergeCell ref="A260:B260"/>
    <mergeCell ref="A266:B266"/>
    <mergeCell ref="A272:B272"/>
    <mergeCell ref="A276:B276"/>
    <mergeCell ref="A281:B281"/>
    <mergeCell ref="A284:B284"/>
    <mergeCell ref="A288:B288"/>
    <mergeCell ref="A292:B292"/>
    <mergeCell ref="A296:B296"/>
    <mergeCell ref="A302:B302"/>
    <mergeCell ref="A307:B307"/>
    <mergeCell ref="A310:B310"/>
    <mergeCell ref="A316:B316"/>
    <mergeCell ref="A319:F319"/>
    <mergeCell ref="A320:F320"/>
    <mergeCell ref="A321:F321"/>
    <mergeCell ref="B324:C324"/>
    <mergeCell ref="B334:F334"/>
    <mergeCell ref="B336:F336"/>
    <mergeCell ref="B8:B9"/>
    <mergeCell ref="B14:B15"/>
    <mergeCell ref="B20:B21"/>
    <mergeCell ref="B26:B27"/>
    <mergeCell ref="B32:B33"/>
    <mergeCell ref="B38:B39"/>
    <mergeCell ref="B44:B45"/>
    <mergeCell ref="B50:B51"/>
    <mergeCell ref="B56:B57"/>
    <mergeCell ref="B62:B63"/>
    <mergeCell ref="B68:B69"/>
    <mergeCell ref="B76:B77"/>
    <mergeCell ref="B79:B80"/>
    <mergeCell ref="B82:B83"/>
    <mergeCell ref="B85:B86"/>
    <mergeCell ref="B88:B89"/>
    <mergeCell ref="B91:B92"/>
    <mergeCell ref="B94:B95"/>
    <mergeCell ref="B97:B98"/>
    <mergeCell ref="B100:B101"/>
    <mergeCell ref="B103:B104"/>
    <mergeCell ref="B106:B107"/>
    <mergeCell ref="B109:B110"/>
    <mergeCell ref="E8:E9"/>
    <mergeCell ref="E14:E15"/>
    <mergeCell ref="E20:E21"/>
    <mergeCell ref="E26:E27"/>
    <mergeCell ref="E32:E33"/>
    <mergeCell ref="E38:E39"/>
    <mergeCell ref="E44:E45"/>
    <mergeCell ref="E50:E51"/>
    <mergeCell ref="E56:E57"/>
    <mergeCell ref="E62:E63"/>
    <mergeCell ref="E68:E69"/>
    <mergeCell ref="F8:F9"/>
    <mergeCell ref="F14:F15"/>
    <mergeCell ref="F20:F21"/>
    <mergeCell ref="F26:F27"/>
    <mergeCell ref="F32:F33"/>
    <mergeCell ref="F38:F39"/>
    <mergeCell ref="F44:F45"/>
    <mergeCell ref="F50:F51"/>
    <mergeCell ref="F56:F57"/>
    <mergeCell ref="F62:F63"/>
    <mergeCell ref="F68:F69"/>
    <mergeCell ref="B348:F350"/>
    <mergeCell ref="B326:F328"/>
    <mergeCell ref="B330:F332"/>
    <mergeCell ref="B343:F346"/>
    <mergeCell ref="B338:F341"/>
  </mergeCells>
  <pageMargins left="0.7875" right="0.7875" top="1.05277777777778" bottom="1.05277777777778" header="0.7875" footer="0.7875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0"/>
  <sheetViews>
    <sheetView view="pageBreakPreview" zoomScale="90" zoomScaleNormal="100" topLeftCell="E1" workbookViewId="0">
      <selection activeCell="I138" sqref="I138"/>
    </sheetView>
  </sheetViews>
  <sheetFormatPr defaultColWidth="14.4285714285714" defaultRowHeight="15" customHeight="1"/>
  <cols>
    <col min="1" max="1" width="7.42857142857143" customWidth="1"/>
    <col min="2" max="2" width="9" customWidth="1"/>
    <col min="3" max="3" width="8.71428571428571" customWidth="1"/>
    <col min="4" max="4" width="10.2857142857143" customWidth="1"/>
    <col min="5" max="5" width="8.71428571428571" customWidth="1"/>
    <col min="6" max="6" width="17.1428571428571" customWidth="1"/>
    <col min="7" max="7" width="24.4285714285714" customWidth="1"/>
    <col min="8" max="8" width="16.1428571428571" customWidth="1"/>
    <col min="9" max="9" width="30.7142857142857" customWidth="1"/>
    <col min="10" max="10" width="42.4380952380952" customWidth="1"/>
    <col min="11" max="11" width="42.0380952380952" customWidth="1"/>
    <col min="12" max="12" width="36.7238095238095" customWidth="1"/>
  </cols>
  <sheetData>
    <row r="1" ht="15.75" spans="1:12">
      <c r="A1" s="115" t="s">
        <v>310</v>
      </c>
      <c r="B1" s="63"/>
      <c r="C1" s="63"/>
      <c r="D1" s="63"/>
      <c r="E1" s="63"/>
      <c r="F1" s="63"/>
      <c r="G1" s="63"/>
      <c r="H1" s="63"/>
      <c r="I1" s="71"/>
      <c r="J1" s="156" t="s">
        <v>311</v>
      </c>
      <c r="K1" s="157"/>
      <c r="L1" s="157"/>
    </row>
    <row r="2" ht="15.75" spans="1:12">
      <c r="A2" s="116"/>
      <c r="I2" s="158"/>
      <c r="J2" s="156"/>
      <c r="K2" s="157"/>
      <c r="L2" s="157"/>
    </row>
    <row r="3" ht="15.75" spans="1:12">
      <c r="A3" s="115" t="s">
        <v>312</v>
      </c>
      <c r="B3" s="63"/>
      <c r="C3" s="63"/>
      <c r="D3" s="63"/>
      <c r="E3" s="63"/>
      <c r="F3" s="63"/>
      <c r="G3" s="71"/>
      <c r="H3" s="117" t="s">
        <v>313</v>
      </c>
      <c r="I3" s="71"/>
      <c r="J3" s="156"/>
      <c r="K3" s="157"/>
      <c r="L3" s="157"/>
    </row>
    <row r="4" ht="15.75" spans="1:12">
      <c r="A4" s="115"/>
      <c r="B4" s="118"/>
      <c r="C4" s="118"/>
      <c r="D4" s="118"/>
      <c r="E4" s="118"/>
      <c r="F4" s="118"/>
      <c r="G4" s="118"/>
      <c r="H4" s="118"/>
      <c r="I4" s="159"/>
      <c r="J4" s="156"/>
      <c r="K4" s="157"/>
      <c r="L4" s="157"/>
    </row>
    <row r="5" ht="15.75" spans="1:12">
      <c r="A5" s="119" t="s">
        <v>314</v>
      </c>
      <c r="B5" s="63"/>
      <c r="C5" s="63"/>
      <c r="D5" s="63"/>
      <c r="E5" s="63"/>
      <c r="F5" s="63"/>
      <c r="G5" s="63"/>
      <c r="H5" s="63"/>
      <c r="I5" s="71"/>
      <c r="J5" s="156"/>
      <c r="K5" s="157"/>
      <c r="L5" s="157"/>
    </row>
    <row r="6" ht="15.75" spans="1:12">
      <c r="A6" s="120" t="s">
        <v>315</v>
      </c>
      <c r="B6" s="121" t="s">
        <v>316</v>
      </c>
      <c r="C6" s="63"/>
      <c r="D6" s="63"/>
      <c r="E6" s="63"/>
      <c r="F6" s="63"/>
      <c r="G6" s="63"/>
      <c r="H6" s="71"/>
      <c r="I6" s="160"/>
      <c r="J6" s="156"/>
      <c r="K6" s="161"/>
      <c r="L6" s="161"/>
    </row>
    <row r="7" ht="16.5" spans="1:12">
      <c r="A7" s="120" t="s">
        <v>317</v>
      </c>
      <c r="B7" s="121" t="s">
        <v>318</v>
      </c>
      <c r="C7" s="63"/>
      <c r="D7" s="63"/>
      <c r="E7" s="63"/>
      <c r="F7" s="63"/>
      <c r="G7" s="63"/>
      <c r="H7" s="71"/>
      <c r="I7" s="120" t="s">
        <v>319</v>
      </c>
      <c r="J7" s="156"/>
      <c r="K7" s="157"/>
      <c r="L7" s="157"/>
    </row>
    <row r="8" ht="15.75" spans="1:12">
      <c r="A8" s="120" t="s">
        <v>320</v>
      </c>
      <c r="B8" s="121" t="s">
        <v>321</v>
      </c>
      <c r="C8" s="63"/>
      <c r="D8" s="63"/>
      <c r="E8" s="63"/>
      <c r="F8" s="63"/>
      <c r="G8" s="63"/>
      <c r="H8" s="71"/>
      <c r="I8" s="120" t="s">
        <v>322</v>
      </c>
      <c r="J8" s="156"/>
      <c r="K8" s="162" t="s">
        <v>323</v>
      </c>
      <c r="L8" s="163"/>
    </row>
    <row r="9" ht="16.5" spans="1:12">
      <c r="A9" s="120" t="s">
        <v>324</v>
      </c>
      <c r="B9" s="121" t="s">
        <v>325</v>
      </c>
      <c r="C9" s="63"/>
      <c r="D9" s="63"/>
      <c r="E9" s="63"/>
      <c r="F9" s="63"/>
      <c r="G9" s="63"/>
      <c r="H9" s="71"/>
      <c r="I9" s="120">
        <v>12</v>
      </c>
      <c r="J9" s="156"/>
      <c r="K9" s="164" t="s">
        <v>326</v>
      </c>
      <c r="L9" s="165"/>
    </row>
    <row r="10" ht="16.5" spans="1:12">
      <c r="A10" s="122"/>
      <c r="I10" s="158"/>
      <c r="J10" s="156"/>
      <c r="K10" s="166" t="s">
        <v>327</v>
      </c>
      <c r="L10" s="167">
        <f>J138</f>
        <v>2987.50095</v>
      </c>
    </row>
    <row r="11" ht="16.5" spans="1:12">
      <c r="A11" s="119" t="s">
        <v>328</v>
      </c>
      <c r="B11" s="63"/>
      <c r="C11" s="63"/>
      <c r="D11" s="63"/>
      <c r="E11" s="63"/>
      <c r="F11" s="63"/>
      <c r="G11" s="63"/>
      <c r="H11" s="63"/>
      <c r="I11" s="71"/>
      <c r="J11" s="156"/>
      <c r="K11" s="168"/>
      <c r="L11" s="168"/>
    </row>
    <row r="12" ht="15.75" spans="1:12">
      <c r="A12" s="117" t="s">
        <v>329</v>
      </c>
      <c r="B12" s="71"/>
      <c r="C12" s="117" t="s">
        <v>330</v>
      </c>
      <c r="D12" s="71"/>
      <c r="E12" s="117" t="s">
        <v>331</v>
      </c>
      <c r="F12" s="63"/>
      <c r="G12" s="63"/>
      <c r="H12" s="63"/>
      <c r="I12" s="71"/>
      <c r="J12" s="156"/>
      <c r="K12" s="162" t="s">
        <v>332</v>
      </c>
      <c r="L12" s="163"/>
    </row>
    <row r="13" ht="16.5" spans="1:12">
      <c r="A13" s="123" t="s">
        <v>333</v>
      </c>
      <c r="B13" s="124"/>
      <c r="C13" s="125" t="s">
        <v>334</v>
      </c>
      <c r="D13" s="126"/>
      <c r="E13" s="117">
        <v>1</v>
      </c>
      <c r="F13" s="63"/>
      <c r="G13" s="63"/>
      <c r="H13" s="63"/>
      <c r="I13" s="71"/>
      <c r="J13" s="156"/>
      <c r="K13" s="169" t="s">
        <v>335</v>
      </c>
      <c r="L13" s="170"/>
    </row>
    <row r="14" ht="15.75" spans="1:12">
      <c r="A14" s="119" t="s">
        <v>336</v>
      </c>
      <c r="B14" s="63"/>
      <c r="C14" s="63"/>
      <c r="D14" s="63"/>
      <c r="E14" s="63"/>
      <c r="F14" s="63"/>
      <c r="G14" s="63"/>
      <c r="H14" s="63"/>
      <c r="I14" s="71"/>
      <c r="J14" s="156"/>
      <c r="K14" s="171" t="s">
        <v>337</v>
      </c>
      <c r="L14" s="172">
        <v>0.11</v>
      </c>
    </row>
    <row r="15" ht="25.5" spans="1:12">
      <c r="A15" s="120">
        <v>1</v>
      </c>
      <c r="B15" s="121" t="s">
        <v>338</v>
      </c>
      <c r="C15" s="63"/>
      <c r="D15" s="63"/>
      <c r="E15" s="63"/>
      <c r="F15" s="63"/>
      <c r="G15" s="63"/>
      <c r="H15" s="71"/>
      <c r="I15" s="173" t="s">
        <v>339</v>
      </c>
      <c r="J15" s="156"/>
      <c r="K15" s="174" t="s">
        <v>340</v>
      </c>
      <c r="L15" s="175">
        <f>I52</f>
        <v>412.05</v>
      </c>
    </row>
    <row r="16" ht="15.75" spans="1:12">
      <c r="A16" s="120">
        <v>2</v>
      </c>
      <c r="B16" s="121" t="s">
        <v>341</v>
      </c>
      <c r="C16" s="63"/>
      <c r="D16" s="63"/>
      <c r="E16" s="63"/>
      <c r="F16" s="63"/>
      <c r="G16" s="63"/>
      <c r="H16" s="71"/>
      <c r="I16" s="120" t="s">
        <v>342</v>
      </c>
      <c r="J16" s="156"/>
      <c r="K16" s="174" t="s">
        <v>343</v>
      </c>
      <c r="L16" s="175">
        <f>I104</f>
        <v>20.53</v>
      </c>
    </row>
    <row r="17" ht="15.75" spans="1:12">
      <c r="A17" s="120">
        <v>3</v>
      </c>
      <c r="B17" s="121" t="s">
        <v>344</v>
      </c>
      <c r="C17" s="63"/>
      <c r="D17" s="63"/>
      <c r="E17" s="63"/>
      <c r="F17" s="63"/>
      <c r="G17" s="63"/>
      <c r="H17" s="71"/>
      <c r="I17" s="176">
        <v>1756.74</v>
      </c>
      <c r="J17" s="156"/>
      <c r="K17" s="174" t="s">
        <v>345</v>
      </c>
      <c r="L17" s="175">
        <f>I51</f>
        <v>50.6</v>
      </c>
    </row>
    <row r="18" ht="38.25" spans="1:12">
      <c r="A18" s="127">
        <v>4</v>
      </c>
      <c r="B18" s="128" t="s">
        <v>346</v>
      </c>
      <c r="C18" s="63"/>
      <c r="D18" s="63"/>
      <c r="E18" s="63"/>
      <c r="F18" s="63"/>
      <c r="G18" s="63"/>
      <c r="H18" s="71"/>
      <c r="I18" s="177" t="s">
        <v>347</v>
      </c>
      <c r="J18" s="156"/>
      <c r="K18" s="178" t="s">
        <v>348</v>
      </c>
      <c r="L18" s="179">
        <f>SUM(L15:L17)</f>
        <v>483.18</v>
      </c>
    </row>
    <row r="19" ht="15.75" spans="1:12">
      <c r="A19" s="120">
        <v>5</v>
      </c>
      <c r="B19" s="121" t="s">
        <v>349</v>
      </c>
      <c r="C19" s="63"/>
      <c r="D19" s="63"/>
      <c r="E19" s="63"/>
      <c r="F19" s="63"/>
      <c r="G19" s="63"/>
      <c r="H19" s="71"/>
      <c r="I19" s="160" t="s">
        <v>350</v>
      </c>
      <c r="J19" s="156"/>
      <c r="K19" s="174" t="s">
        <v>351</v>
      </c>
      <c r="L19" s="180">
        <f>I138</f>
        <v>4237.95</v>
      </c>
    </row>
    <row r="20" ht="15.75" spans="1:12">
      <c r="A20" s="129"/>
      <c r="B20" s="63"/>
      <c r="C20" s="63"/>
      <c r="D20" s="63"/>
      <c r="E20" s="63"/>
      <c r="F20" s="63"/>
      <c r="G20" s="63"/>
      <c r="H20" s="63"/>
      <c r="I20" s="71"/>
      <c r="J20" s="156"/>
      <c r="K20" s="181" t="s">
        <v>352</v>
      </c>
      <c r="L20" s="182">
        <f>L19-L18</f>
        <v>3754.77</v>
      </c>
    </row>
    <row r="21" ht="15.75" customHeight="1" spans="1:12">
      <c r="A21" s="119" t="s">
        <v>353</v>
      </c>
      <c r="B21" s="63"/>
      <c r="C21" s="63"/>
      <c r="D21" s="63"/>
      <c r="E21" s="63"/>
      <c r="F21" s="63"/>
      <c r="G21" s="63"/>
      <c r="H21" s="63"/>
      <c r="I21" s="71"/>
      <c r="J21" s="156"/>
      <c r="K21" s="183" t="s">
        <v>354</v>
      </c>
      <c r="L21" s="184">
        <f>L20*11%</f>
        <v>413.0247</v>
      </c>
    </row>
    <row r="22" ht="15.75" customHeight="1" spans="1:12">
      <c r="A22" s="130">
        <v>1</v>
      </c>
      <c r="B22" s="119" t="s">
        <v>355</v>
      </c>
      <c r="C22" s="63"/>
      <c r="D22" s="63"/>
      <c r="E22" s="63"/>
      <c r="F22" s="63"/>
      <c r="G22" s="71"/>
      <c r="H22" s="131" t="s">
        <v>356</v>
      </c>
      <c r="I22" s="131" t="s">
        <v>357</v>
      </c>
      <c r="J22" s="156"/>
      <c r="K22" s="171" t="s">
        <v>358</v>
      </c>
      <c r="L22" s="185"/>
    </row>
    <row r="23" ht="15.75" customHeight="1" spans="1:12">
      <c r="A23" s="130" t="s">
        <v>315</v>
      </c>
      <c r="B23" s="121" t="s">
        <v>359</v>
      </c>
      <c r="C23" s="63"/>
      <c r="D23" s="63"/>
      <c r="E23" s="63"/>
      <c r="F23" s="63"/>
      <c r="G23" s="71"/>
      <c r="H23" s="132"/>
      <c r="I23" s="186">
        <f>I17</f>
        <v>1756.74</v>
      </c>
      <c r="J23" s="156"/>
      <c r="K23" s="187" t="s">
        <v>360</v>
      </c>
      <c r="L23" s="188">
        <v>0.012</v>
      </c>
    </row>
    <row r="24" ht="15.75" customHeight="1" spans="1:12">
      <c r="A24" s="130" t="s">
        <v>317</v>
      </c>
      <c r="B24" s="121" t="s">
        <v>361</v>
      </c>
      <c r="C24" s="63"/>
      <c r="D24" s="63"/>
      <c r="E24" s="63"/>
      <c r="F24" s="63"/>
      <c r="G24" s="71"/>
      <c r="H24" s="133"/>
      <c r="I24" s="189">
        <v>0</v>
      </c>
      <c r="J24" s="156"/>
      <c r="K24" s="190" t="s">
        <v>362</v>
      </c>
      <c r="L24" s="191">
        <v>0.048</v>
      </c>
    </row>
    <row r="25" ht="15.75" customHeight="1" spans="1:12">
      <c r="A25" s="130" t="s">
        <v>320</v>
      </c>
      <c r="B25" s="121" t="s">
        <v>363</v>
      </c>
      <c r="C25" s="63"/>
      <c r="D25" s="63"/>
      <c r="E25" s="63"/>
      <c r="F25" s="63"/>
      <c r="G25" s="71"/>
      <c r="H25" s="133"/>
      <c r="I25" s="186">
        <v>0</v>
      </c>
      <c r="J25" s="156"/>
      <c r="K25" s="174" t="s">
        <v>364</v>
      </c>
      <c r="L25" s="180">
        <f>L19</f>
        <v>4237.95</v>
      </c>
    </row>
    <row r="26" ht="15.75" customHeight="1" spans="1:12">
      <c r="A26" s="130" t="s">
        <v>324</v>
      </c>
      <c r="B26" s="121" t="s">
        <v>365</v>
      </c>
      <c r="C26" s="63"/>
      <c r="D26" s="63"/>
      <c r="E26" s="63"/>
      <c r="F26" s="63"/>
      <c r="G26" s="71"/>
      <c r="H26" s="133"/>
      <c r="I26" s="186">
        <v>0</v>
      </c>
      <c r="J26" s="192"/>
      <c r="K26" s="183" t="s">
        <v>366</v>
      </c>
      <c r="L26" s="184">
        <f>L25*L23</f>
        <v>50.8554</v>
      </c>
    </row>
    <row r="27" ht="15.75" customHeight="1" spans="1:12">
      <c r="A27" s="130" t="s">
        <v>367</v>
      </c>
      <c r="B27" s="121" t="s">
        <v>368</v>
      </c>
      <c r="C27" s="63"/>
      <c r="D27" s="63"/>
      <c r="E27" s="63"/>
      <c r="F27" s="63"/>
      <c r="G27" s="71"/>
      <c r="H27" s="133"/>
      <c r="I27" s="186">
        <v>0</v>
      </c>
      <c r="J27" s="192"/>
      <c r="K27" s="171" t="s">
        <v>369</v>
      </c>
      <c r="L27" s="172">
        <v>0.01</v>
      </c>
    </row>
    <row r="28" ht="15.75" customHeight="1" spans="1:12">
      <c r="A28" s="130" t="s">
        <v>370</v>
      </c>
      <c r="B28" s="121" t="s">
        <v>371</v>
      </c>
      <c r="C28" s="63"/>
      <c r="D28" s="63"/>
      <c r="E28" s="63"/>
      <c r="F28" s="63"/>
      <c r="G28" s="71"/>
      <c r="H28" s="133"/>
      <c r="I28" s="186">
        <v>0</v>
      </c>
      <c r="J28" s="192"/>
      <c r="K28" s="181" t="s">
        <v>351</v>
      </c>
      <c r="L28" s="182">
        <f>L19</f>
        <v>4237.95</v>
      </c>
    </row>
    <row r="29" ht="15.75" customHeight="1" spans="1:12">
      <c r="A29" s="119" t="s">
        <v>372</v>
      </c>
      <c r="B29" s="63"/>
      <c r="C29" s="63"/>
      <c r="D29" s="63"/>
      <c r="E29" s="63"/>
      <c r="F29" s="63"/>
      <c r="G29" s="63"/>
      <c r="H29" s="71"/>
      <c r="I29" s="193">
        <f>SUM(I23:I28)</f>
        <v>1756.74</v>
      </c>
      <c r="J29" s="194">
        <f>SUM(I23:I28)-(I23*6%)</f>
        <v>1651.3356</v>
      </c>
      <c r="K29" s="183" t="s">
        <v>354</v>
      </c>
      <c r="L29" s="184">
        <f>L28*L27</f>
        <v>42.3795</v>
      </c>
    </row>
    <row r="30" ht="15.75" customHeight="1" spans="1:12">
      <c r="A30" s="116"/>
      <c r="I30" s="158"/>
      <c r="J30" s="195"/>
      <c r="K30" s="171" t="s">
        <v>373</v>
      </c>
      <c r="L30" s="172">
        <f>H117</f>
        <v>0.0632</v>
      </c>
    </row>
    <row r="31" ht="15.75" customHeight="1" spans="1:12">
      <c r="A31" s="119" t="s">
        <v>374</v>
      </c>
      <c r="B31" s="63"/>
      <c r="C31" s="63"/>
      <c r="D31" s="63"/>
      <c r="E31" s="63"/>
      <c r="F31" s="63"/>
      <c r="G31" s="63"/>
      <c r="H31" s="63"/>
      <c r="I31" s="71"/>
      <c r="J31" s="195"/>
      <c r="K31" s="181" t="s">
        <v>351</v>
      </c>
      <c r="L31" s="182">
        <f>L19</f>
        <v>4237.95</v>
      </c>
    </row>
    <row r="32" ht="15.75" customHeight="1" spans="1:12">
      <c r="A32" s="119" t="s">
        <v>375</v>
      </c>
      <c r="B32" s="63"/>
      <c r="C32" s="63"/>
      <c r="D32" s="63"/>
      <c r="E32" s="63"/>
      <c r="F32" s="63"/>
      <c r="G32" s="71"/>
      <c r="H32" s="131" t="s">
        <v>356</v>
      </c>
      <c r="I32" s="131" t="s">
        <v>357</v>
      </c>
      <c r="J32" s="196"/>
      <c r="K32" s="183" t="s">
        <v>354</v>
      </c>
      <c r="L32" s="184">
        <f>L31*L30</f>
        <v>267.83844</v>
      </c>
    </row>
    <row r="33" ht="15.75" customHeight="1" spans="1:12">
      <c r="A33" s="130" t="s">
        <v>315</v>
      </c>
      <c r="B33" s="121" t="s">
        <v>376</v>
      </c>
      <c r="C33" s="63"/>
      <c r="D33" s="63"/>
      <c r="E33" s="63"/>
      <c r="F33" s="63"/>
      <c r="G33" s="71"/>
      <c r="H33" s="133">
        <f>ROUND(1/12,4)</f>
        <v>0.0833</v>
      </c>
      <c r="I33" s="197">
        <f>ROUND(I29*H33,2)</f>
        <v>146.34</v>
      </c>
      <c r="J33" s="194">
        <f>I33+(I33*$H$48)</f>
        <v>197.99802</v>
      </c>
      <c r="K33" s="171" t="s">
        <v>377</v>
      </c>
      <c r="L33" s="172">
        <f>H116</f>
        <v>0.0144</v>
      </c>
    </row>
    <row r="34" ht="15.75" customHeight="1" spans="1:12">
      <c r="A34" s="130" t="s">
        <v>317</v>
      </c>
      <c r="B34" s="121" t="s">
        <v>378</v>
      </c>
      <c r="C34" s="63"/>
      <c r="D34" s="63"/>
      <c r="E34" s="63"/>
      <c r="F34" s="63"/>
      <c r="G34" s="71"/>
      <c r="H34" s="133">
        <v>0.121</v>
      </c>
      <c r="I34" s="197">
        <f>ROUND(I29*H34,2)</f>
        <v>212.57</v>
      </c>
      <c r="J34" s="194">
        <f>I34+(I34*$H$48)</f>
        <v>287.60721</v>
      </c>
      <c r="K34" s="181" t="s">
        <v>351</v>
      </c>
      <c r="L34" s="182">
        <f>L19</f>
        <v>4237.95</v>
      </c>
    </row>
    <row r="35" ht="15.75" customHeight="1" spans="1:12">
      <c r="A35" s="119" t="s">
        <v>379</v>
      </c>
      <c r="B35" s="63"/>
      <c r="C35" s="63"/>
      <c r="D35" s="63"/>
      <c r="E35" s="63"/>
      <c r="F35" s="63"/>
      <c r="G35" s="71"/>
      <c r="H35" s="134">
        <f t="shared" ref="H35:I35" si="0">SUM(H33:H34)</f>
        <v>0.2043</v>
      </c>
      <c r="I35" s="193">
        <f t="shared" si="0"/>
        <v>358.91</v>
      </c>
      <c r="J35" s="192"/>
      <c r="K35" s="183" t="s">
        <v>354</v>
      </c>
      <c r="L35" s="184">
        <f>L34*L33</f>
        <v>61.02648</v>
      </c>
    </row>
    <row r="36" ht="15.75" customHeight="1" spans="1:12">
      <c r="A36" s="135" t="s">
        <v>380</v>
      </c>
      <c r="B36" s="136"/>
      <c r="C36" s="136"/>
      <c r="D36" s="136"/>
      <c r="E36" s="136"/>
      <c r="F36" s="136"/>
      <c r="G36" s="137" t="s">
        <v>381</v>
      </c>
      <c r="H36" s="63"/>
      <c r="I36" s="198">
        <f>I29</f>
        <v>1756.74</v>
      </c>
      <c r="J36" s="199"/>
      <c r="K36" s="171" t="s">
        <v>382</v>
      </c>
      <c r="L36" s="172">
        <f>H118</f>
        <v>0.05</v>
      </c>
    </row>
    <row r="37" ht="15.75" customHeight="1" spans="1:12">
      <c r="A37" s="138"/>
      <c r="F37" s="139"/>
      <c r="G37" s="137" t="s">
        <v>383</v>
      </c>
      <c r="H37" s="63"/>
      <c r="I37" s="198">
        <f>I35</f>
        <v>358.91</v>
      </c>
      <c r="J37" s="200"/>
      <c r="K37" s="181" t="s">
        <v>351</v>
      </c>
      <c r="L37" s="182">
        <f>L19</f>
        <v>4237.95</v>
      </c>
    </row>
    <row r="38" ht="15.75" customHeight="1" spans="1:12">
      <c r="A38" s="140"/>
      <c r="B38" s="141"/>
      <c r="C38" s="141"/>
      <c r="D38" s="141"/>
      <c r="E38" s="141"/>
      <c r="F38" s="141"/>
      <c r="G38" s="142" t="s">
        <v>384</v>
      </c>
      <c r="H38" s="63"/>
      <c r="I38" s="201">
        <f>SUM(I36:I37)</f>
        <v>2115.65</v>
      </c>
      <c r="J38" s="199"/>
      <c r="K38" s="183" t="s">
        <v>354</v>
      </c>
      <c r="L38" s="184">
        <f>L37*L36</f>
        <v>211.8975</v>
      </c>
    </row>
    <row r="39" ht="15.75" customHeight="1" spans="1:12">
      <c r="A39" s="119" t="s">
        <v>385</v>
      </c>
      <c r="B39" s="63"/>
      <c r="C39" s="63"/>
      <c r="D39" s="63"/>
      <c r="E39" s="63"/>
      <c r="F39" s="63"/>
      <c r="G39" s="71"/>
      <c r="H39" s="131" t="s">
        <v>356</v>
      </c>
      <c r="I39" s="131" t="s">
        <v>357</v>
      </c>
      <c r="J39" s="199"/>
      <c r="K39" s="202" t="s">
        <v>386</v>
      </c>
      <c r="L39" s="203">
        <f>L21+L26+L29+L32+L35+L38</f>
        <v>1047.02202</v>
      </c>
    </row>
    <row r="40" ht="15.75" customHeight="1" spans="1:12">
      <c r="A40" s="130" t="s">
        <v>315</v>
      </c>
      <c r="B40" s="121" t="s">
        <v>387</v>
      </c>
      <c r="C40" s="63"/>
      <c r="D40" s="63"/>
      <c r="E40" s="63"/>
      <c r="F40" s="63"/>
      <c r="G40" s="71"/>
      <c r="H40" s="133">
        <v>0.2</v>
      </c>
      <c r="I40" s="197">
        <f t="shared" ref="I40:I47" si="1">ROUND($I$38*H40,2)</f>
        <v>423.13</v>
      </c>
      <c r="J40" s="204" t="s">
        <v>388</v>
      </c>
      <c r="K40" s="205"/>
      <c r="L40" s="205"/>
    </row>
    <row r="41" ht="15.75" customHeight="1" spans="1:12">
      <c r="A41" s="130" t="s">
        <v>317</v>
      </c>
      <c r="B41" s="121" t="s">
        <v>389</v>
      </c>
      <c r="C41" s="63"/>
      <c r="D41" s="63"/>
      <c r="E41" s="63"/>
      <c r="F41" s="63"/>
      <c r="G41" s="71"/>
      <c r="H41" s="133">
        <v>0.025</v>
      </c>
      <c r="I41" s="197">
        <f t="shared" si="1"/>
        <v>52.89</v>
      </c>
      <c r="J41" s="194">
        <f t="shared" ref="J41:J47" si="2">$I$29*H41</f>
        <v>43.9185</v>
      </c>
      <c r="K41" s="206" t="s">
        <v>390</v>
      </c>
      <c r="L41" s="207"/>
    </row>
    <row r="42" ht="15.75" customHeight="1" spans="1:12">
      <c r="A42" s="130" t="s">
        <v>320</v>
      </c>
      <c r="B42" s="121" t="s">
        <v>391</v>
      </c>
      <c r="C42" s="63"/>
      <c r="D42" s="63"/>
      <c r="E42" s="63"/>
      <c r="F42" s="63"/>
      <c r="G42" s="71"/>
      <c r="H42" s="133">
        <v>0.015</v>
      </c>
      <c r="I42" s="197">
        <f t="shared" si="1"/>
        <v>31.73</v>
      </c>
      <c r="J42" s="204" t="s">
        <v>388</v>
      </c>
      <c r="K42" s="208" t="s">
        <v>392</v>
      </c>
      <c r="L42" s="209"/>
    </row>
    <row r="43" ht="15.75" customHeight="1" spans="1:12">
      <c r="A43" s="130" t="s">
        <v>324</v>
      </c>
      <c r="B43" s="121" t="s">
        <v>393</v>
      </c>
      <c r="C43" s="63"/>
      <c r="D43" s="63"/>
      <c r="E43" s="63"/>
      <c r="F43" s="63"/>
      <c r="G43" s="71"/>
      <c r="H43" s="133">
        <v>0.015</v>
      </c>
      <c r="I43" s="197">
        <f t="shared" si="1"/>
        <v>31.73</v>
      </c>
      <c r="J43" s="194">
        <f t="shared" si="2"/>
        <v>26.3511</v>
      </c>
      <c r="K43" s="210" t="s">
        <v>392</v>
      </c>
      <c r="L43" s="211">
        <f>L10+L39</f>
        <v>4034.52297</v>
      </c>
    </row>
    <row r="44" ht="15.75" customHeight="1" spans="1:12">
      <c r="A44" s="130" t="s">
        <v>367</v>
      </c>
      <c r="B44" s="121" t="s">
        <v>394</v>
      </c>
      <c r="C44" s="63"/>
      <c r="D44" s="63"/>
      <c r="E44" s="63"/>
      <c r="F44" s="63"/>
      <c r="G44" s="71"/>
      <c r="H44" s="133">
        <v>0.01</v>
      </c>
      <c r="I44" s="197">
        <f t="shared" si="1"/>
        <v>21.16</v>
      </c>
      <c r="J44" s="194">
        <f t="shared" si="2"/>
        <v>17.5674</v>
      </c>
      <c r="K44" s="168"/>
      <c r="L44" s="212"/>
    </row>
    <row r="45" ht="15.75" customHeight="1" spans="1:12">
      <c r="A45" s="130" t="s">
        <v>370</v>
      </c>
      <c r="B45" s="121" t="s">
        <v>395</v>
      </c>
      <c r="C45" s="63"/>
      <c r="D45" s="63"/>
      <c r="E45" s="63"/>
      <c r="F45" s="63"/>
      <c r="G45" s="71"/>
      <c r="H45" s="133">
        <v>0.006</v>
      </c>
      <c r="I45" s="197">
        <f t="shared" si="1"/>
        <v>12.69</v>
      </c>
      <c r="J45" s="194">
        <f t="shared" si="2"/>
        <v>10.54044</v>
      </c>
      <c r="K45" s="168"/>
      <c r="L45" s="212"/>
    </row>
    <row r="46" ht="15.75" customHeight="1" spans="1:12">
      <c r="A46" s="130" t="s">
        <v>396</v>
      </c>
      <c r="B46" s="121" t="s">
        <v>397</v>
      </c>
      <c r="C46" s="63"/>
      <c r="D46" s="63"/>
      <c r="E46" s="63"/>
      <c r="F46" s="63"/>
      <c r="G46" s="71"/>
      <c r="H46" s="133">
        <v>0.002</v>
      </c>
      <c r="I46" s="197">
        <f t="shared" si="1"/>
        <v>4.23</v>
      </c>
      <c r="J46" s="194">
        <f t="shared" si="2"/>
        <v>3.51348</v>
      </c>
      <c r="K46" s="168"/>
      <c r="L46" s="212"/>
    </row>
    <row r="47" ht="15.75" customHeight="1" spans="1:12">
      <c r="A47" s="130" t="s">
        <v>398</v>
      </c>
      <c r="B47" s="121" t="s">
        <v>399</v>
      </c>
      <c r="C47" s="63"/>
      <c r="D47" s="63"/>
      <c r="E47" s="63"/>
      <c r="F47" s="63"/>
      <c r="G47" s="71"/>
      <c r="H47" s="133">
        <v>0.08</v>
      </c>
      <c r="I47" s="197">
        <f t="shared" si="1"/>
        <v>169.25</v>
      </c>
      <c r="J47" s="194">
        <f t="shared" si="2"/>
        <v>140.5392</v>
      </c>
      <c r="K47" s="168"/>
      <c r="L47" s="212"/>
    </row>
    <row r="48" ht="15.75" customHeight="1" spans="1:12">
      <c r="A48" s="119" t="s">
        <v>400</v>
      </c>
      <c r="B48" s="63"/>
      <c r="C48" s="63"/>
      <c r="D48" s="63"/>
      <c r="E48" s="63"/>
      <c r="F48" s="63"/>
      <c r="G48" s="71"/>
      <c r="H48" s="134">
        <f t="shared" ref="H48:I48" si="3">SUM(H40:H47)</f>
        <v>0.353</v>
      </c>
      <c r="I48" s="193">
        <f t="shared" si="3"/>
        <v>746.81</v>
      </c>
      <c r="J48" s="200"/>
      <c r="K48" s="168"/>
      <c r="L48" s="212"/>
    </row>
    <row r="49" ht="15.75" customHeight="1" spans="1:12">
      <c r="A49" s="143"/>
      <c r="B49" s="63"/>
      <c r="C49" s="63"/>
      <c r="D49" s="63"/>
      <c r="E49" s="63"/>
      <c r="F49" s="63"/>
      <c r="G49" s="63"/>
      <c r="H49" s="63"/>
      <c r="I49" s="71"/>
      <c r="J49" s="200"/>
      <c r="K49" s="213" t="s">
        <v>401</v>
      </c>
      <c r="L49" s="214"/>
    </row>
    <row r="50" ht="15.75" customHeight="1" spans="1:12">
      <c r="A50" s="119" t="s">
        <v>402</v>
      </c>
      <c r="B50" s="63"/>
      <c r="C50" s="63"/>
      <c r="D50" s="63"/>
      <c r="E50" s="63"/>
      <c r="F50" s="63"/>
      <c r="G50" s="71"/>
      <c r="H50" s="134"/>
      <c r="I50" s="131" t="s">
        <v>357</v>
      </c>
      <c r="J50" s="200"/>
      <c r="K50" s="215" t="s">
        <v>403</v>
      </c>
      <c r="L50" s="216"/>
    </row>
    <row r="51" ht="15.75" customHeight="1" spans="1:12">
      <c r="A51" s="130" t="s">
        <v>315</v>
      </c>
      <c r="B51" s="129" t="s">
        <v>404</v>
      </c>
      <c r="C51" s="63"/>
      <c r="D51" s="63"/>
      <c r="E51" s="63"/>
      <c r="F51" s="63"/>
      <c r="G51" s="71"/>
      <c r="H51" s="300">
        <v>3</v>
      </c>
      <c r="I51" s="186">
        <f>ROUND((H51*2*26)-0.06*I23,2)</f>
        <v>50.6</v>
      </c>
      <c r="J51" s="194">
        <f t="shared" ref="J51:J54" si="4">I51</f>
        <v>50.6</v>
      </c>
      <c r="K51" s="218" t="s">
        <v>405</v>
      </c>
      <c r="L51" s="219">
        <v>1</v>
      </c>
    </row>
    <row r="52" ht="15.75" customHeight="1" spans="1:12">
      <c r="A52" s="130" t="s">
        <v>317</v>
      </c>
      <c r="B52" s="129" t="s">
        <v>406</v>
      </c>
      <c r="C52" s="63"/>
      <c r="D52" s="63"/>
      <c r="E52" s="63"/>
      <c r="F52" s="63"/>
      <c r="G52" s="71"/>
      <c r="H52" s="120" t="s">
        <v>299</v>
      </c>
      <c r="I52" s="186">
        <v>412.05</v>
      </c>
      <c r="J52" s="194">
        <f t="shared" si="4"/>
        <v>412.05</v>
      </c>
      <c r="K52" s="220" t="s">
        <v>407</v>
      </c>
      <c r="L52" s="221">
        <f>L43</f>
        <v>4034.52297</v>
      </c>
    </row>
    <row r="53" ht="15.75" customHeight="1" spans="1:12">
      <c r="A53" s="301" t="s">
        <v>320</v>
      </c>
      <c r="B53" s="302" t="s">
        <v>408</v>
      </c>
      <c r="C53" s="303"/>
      <c r="D53" s="303"/>
      <c r="E53" s="303"/>
      <c r="F53" s="303"/>
      <c r="G53" s="304"/>
      <c r="H53" s="305" t="s">
        <v>299</v>
      </c>
      <c r="I53" s="308">
        <v>10</v>
      </c>
      <c r="J53" s="194">
        <f t="shared" si="4"/>
        <v>10</v>
      </c>
      <c r="K53" s="223"/>
      <c r="L53" s="224"/>
    </row>
    <row r="54" ht="15.75" customHeight="1" spans="1:12">
      <c r="A54" s="243" t="s">
        <v>324</v>
      </c>
      <c r="B54" s="306" t="s">
        <v>409</v>
      </c>
      <c r="C54" s="146"/>
      <c r="D54" s="146"/>
      <c r="E54" s="146"/>
      <c r="F54" s="146"/>
      <c r="G54" s="147"/>
      <c r="H54" s="307" t="s">
        <v>299</v>
      </c>
      <c r="I54" s="309">
        <v>2</v>
      </c>
      <c r="J54" s="194">
        <f t="shared" si="4"/>
        <v>2</v>
      </c>
      <c r="K54" s="225"/>
      <c r="L54" s="226"/>
    </row>
    <row r="55" ht="15.75" customHeight="1" spans="1:12">
      <c r="A55" s="119" t="s">
        <v>410</v>
      </c>
      <c r="B55" s="63"/>
      <c r="C55" s="63"/>
      <c r="D55" s="63"/>
      <c r="E55" s="63"/>
      <c r="F55" s="63"/>
      <c r="G55" s="63"/>
      <c r="H55" s="71"/>
      <c r="I55" s="193">
        <f>SUM(I51:I54)</f>
        <v>474.65</v>
      </c>
      <c r="J55" s="192"/>
      <c r="K55" s="227" t="s">
        <v>411</v>
      </c>
      <c r="L55" s="228">
        <f>I138</f>
        <v>4237.95</v>
      </c>
    </row>
    <row r="56" ht="15.75" customHeight="1" spans="1:12">
      <c r="A56" s="143"/>
      <c r="B56" s="63"/>
      <c r="C56" s="63"/>
      <c r="D56" s="63"/>
      <c r="E56" s="63"/>
      <c r="F56" s="63"/>
      <c r="G56" s="63"/>
      <c r="H56" s="63"/>
      <c r="I56" s="71"/>
      <c r="J56" s="192"/>
      <c r="K56" s="229" t="s">
        <v>412</v>
      </c>
      <c r="L56" s="221">
        <f>L43</f>
        <v>4034.52297</v>
      </c>
    </row>
    <row r="57" ht="15.75" customHeight="1" spans="1:12">
      <c r="A57" s="119" t="s">
        <v>413</v>
      </c>
      <c r="B57" s="63"/>
      <c r="C57" s="63"/>
      <c r="D57" s="63"/>
      <c r="E57" s="63"/>
      <c r="F57" s="63"/>
      <c r="G57" s="63"/>
      <c r="H57" s="63"/>
      <c r="I57" s="71"/>
      <c r="J57" s="192"/>
      <c r="K57" s="230" t="s">
        <v>414</v>
      </c>
      <c r="L57" s="231">
        <f>L55-L56</f>
        <v>203.42703</v>
      </c>
    </row>
    <row r="58" ht="15.75" customHeight="1" spans="1:12">
      <c r="A58" s="119" t="s">
        <v>415</v>
      </c>
      <c r="B58" s="63"/>
      <c r="C58" s="63"/>
      <c r="D58" s="63"/>
      <c r="E58" s="63"/>
      <c r="F58" s="63"/>
      <c r="G58" s="63"/>
      <c r="H58" s="71"/>
      <c r="I58" s="131" t="s">
        <v>357</v>
      </c>
      <c r="J58" s="192"/>
      <c r="K58" s="232" t="s">
        <v>416</v>
      </c>
      <c r="L58" s="233">
        <f>SUM(I68:I71,I96,I104,I113)</f>
        <v>200.89</v>
      </c>
    </row>
    <row r="59" ht="15.75" customHeight="1" spans="1:12">
      <c r="A59" s="130" t="s">
        <v>211</v>
      </c>
      <c r="B59" s="117" t="s">
        <v>417</v>
      </c>
      <c r="C59" s="63"/>
      <c r="D59" s="63"/>
      <c r="E59" s="63"/>
      <c r="F59" s="63"/>
      <c r="G59" s="63"/>
      <c r="H59" s="71"/>
      <c r="I59" s="197">
        <f>I35</f>
        <v>358.91</v>
      </c>
      <c r="J59" s="192"/>
      <c r="K59" s="232" t="s">
        <v>418</v>
      </c>
      <c r="L59" s="234">
        <f>L57-L58</f>
        <v>2.53702999999982</v>
      </c>
    </row>
    <row r="60" ht="15.75" customHeight="1" spans="1:12">
      <c r="A60" s="130" t="s">
        <v>241</v>
      </c>
      <c r="B60" s="117" t="s">
        <v>419</v>
      </c>
      <c r="C60" s="63"/>
      <c r="D60" s="63"/>
      <c r="E60" s="63"/>
      <c r="F60" s="63"/>
      <c r="G60" s="63"/>
      <c r="H60" s="71"/>
      <c r="I60" s="197">
        <f>I48</f>
        <v>746.81</v>
      </c>
      <c r="J60" s="192"/>
      <c r="K60" s="235" t="s">
        <v>420</v>
      </c>
      <c r="L60" s="236">
        <f>ROUND(L59*L51,2)</f>
        <v>2.54</v>
      </c>
    </row>
    <row r="61" ht="15.75" customHeight="1" spans="1:12">
      <c r="A61" s="130" t="s">
        <v>253</v>
      </c>
      <c r="B61" s="117" t="s">
        <v>421</v>
      </c>
      <c r="C61" s="63"/>
      <c r="D61" s="63"/>
      <c r="E61" s="63"/>
      <c r="F61" s="63"/>
      <c r="G61" s="63"/>
      <c r="H61" s="71"/>
      <c r="I61" s="197">
        <f>I55</f>
        <v>474.65</v>
      </c>
      <c r="J61" s="192"/>
      <c r="K61" s="235" t="s">
        <v>422</v>
      </c>
      <c r="L61" s="236">
        <f>ROUND((L59*12)*L51,2)</f>
        <v>30.44</v>
      </c>
    </row>
    <row r="62" ht="15.75" customHeight="1" spans="1:12">
      <c r="A62" s="119" t="s">
        <v>423</v>
      </c>
      <c r="B62" s="63"/>
      <c r="C62" s="63"/>
      <c r="D62" s="63"/>
      <c r="E62" s="63"/>
      <c r="F62" s="63"/>
      <c r="G62" s="63"/>
      <c r="H62" s="71"/>
      <c r="I62" s="193">
        <f>SUM(I59:I61)</f>
        <v>1580.37</v>
      </c>
      <c r="J62" s="192"/>
      <c r="K62" s="237" t="s">
        <v>424</v>
      </c>
      <c r="L62" s="238"/>
    </row>
    <row r="63" ht="15.75" customHeight="1" spans="1:12">
      <c r="A63" s="155" t="s">
        <v>425</v>
      </c>
      <c r="B63" s="136"/>
      <c r="C63" s="136"/>
      <c r="D63" s="136"/>
      <c r="E63" s="136"/>
      <c r="F63" s="136"/>
      <c r="G63" s="137" t="s">
        <v>381</v>
      </c>
      <c r="H63" s="63"/>
      <c r="I63" s="198">
        <f>I29</f>
        <v>1756.74</v>
      </c>
      <c r="J63" s="192"/>
      <c r="K63" s="239"/>
      <c r="L63" s="240"/>
    </row>
    <row r="64" ht="15.75" customHeight="1" spans="1:12">
      <c r="A64" s="138"/>
      <c r="F64" s="139"/>
      <c r="G64" s="137" t="s">
        <v>426</v>
      </c>
      <c r="H64" s="63"/>
      <c r="I64" s="198">
        <f>I62</f>
        <v>1580.37</v>
      </c>
      <c r="J64" s="192"/>
      <c r="K64" s="239"/>
      <c r="L64" s="240"/>
    </row>
    <row r="65" ht="15.75" customHeight="1" spans="1:12">
      <c r="A65" s="140"/>
      <c r="B65" s="141"/>
      <c r="C65" s="141"/>
      <c r="D65" s="141"/>
      <c r="E65" s="141"/>
      <c r="F65" s="141"/>
      <c r="G65" s="142" t="s">
        <v>384</v>
      </c>
      <c r="H65" s="63"/>
      <c r="I65" s="201">
        <f>SUM(I63:I64)</f>
        <v>3337.11</v>
      </c>
      <c r="J65" s="192"/>
      <c r="K65" s="239"/>
      <c r="L65" s="240"/>
    </row>
    <row r="66" ht="15.75" customHeight="1" spans="1:12">
      <c r="A66" s="119" t="s">
        <v>427</v>
      </c>
      <c r="B66" s="63"/>
      <c r="C66" s="63"/>
      <c r="D66" s="63"/>
      <c r="E66" s="63"/>
      <c r="F66" s="63"/>
      <c r="G66" s="63"/>
      <c r="H66" s="63"/>
      <c r="I66" s="71"/>
      <c r="J66" s="192"/>
      <c r="K66" s="239"/>
      <c r="L66" s="240"/>
    </row>
    <row r="67" ht="15.75" customHeight="1" spans="1:12">
      <c r="A67" s="241">
        <v>3</v>
      </c>
      <c r="B67" s="119" t="s">
        <v>428</v>
      </c>
      <c r="C67" s="63"/>
      <c r="D67" s="63"/>
      <c r="E67" s="63"/>
      <c r="F67" s="63"/>
      <c r="G67" s="71"/>
      <c r="H67" s="131" t="s">
        <v>356</v>
      </c>
      <c r="I67" s="131" t="s">
        <v>357</v>
      </c>
      <c r="J67" s="192"/>
      <c r="K67" s="239"/>
      <c r="L67" s="240"/>
    </row>
    <row r="68" ht="15.75" customHeight="1" spans="1:12">
      <c r="A68" s="130" t="s">
        <v>315</v>
      </c>
      <c r="B68" s="121" t="s">
        <v>429</v>
      </c>
      <c r="C68" s="63"/>
      <c r="D68" s="63"/>
      <c r="E68" s="63"/>
      <c r="F68" s="63"/>
      <c r="G68" s="71"/>
      <c r="H68" s="133">
        <f>ROUND(((1/12)*5%),4)</f>
        <v>0.0042</v>
      </c>
      <c r="I68" s="197">
        <f t="shared" ref="I68:I72" si="5">ROUND(H68*$I$65,2)</f>
        <v>14.02</v>
      </c>
      <c r="J68" s="192"/>
      <c r="K68" s="239"/>
      <c r="L68" s="240"/>
    </row>
    <row r="69" ht="15.75" customHeight="1" spans="1:12">
      <c r="A69" s="130" t="s">
        <v>317</v>
      </c>
      <c r="B69" s="121" t="s">
        <v>430</v>
      </c>
      <c r="C69" s="63"/>
      <c r="D69" s="63"/>
      <c r="E69" s="63"/>
      <c r="F69" s="63"/>
      <c r="G69" s="71"/>
      <c r="H69" s="133">
        <f>TRUNC(H68*H47,4)</f>
        <v>0.0003</v>
      </c>
      <c r="I69" s="197">
        <f t="shared" si="5"/>
        <v>1</v>
      </c>
      <c r="J69" s="192"/>
      <c r="K69" s="239"/>
      <c r="L69" s="240"/>
    </row>
    <row r="70" ht="15.75" customHeight="1" spans="1:12">
      <c r="A70" s="130" t="s">
        <v>320</v>
      </c>
      <c r="B70" s="121" t="s">
        <v>431</v>
      </c>
      <c r="C70" s="63"/>
      <c r="D70" s="63"/>
      <c r="E70" s="63"/>
      <c r="F70" s="63"/>
      <c r="G70" s="71"/>
      <c r="H70" s="133">
        <f>ROUND(((7/30)/12)*95%,4)</f>
        <v>0.0185</v>
      </c>
      <c r="I70" s="197">
        <f t="shared" si="5"/>
        <v>61.74</v>
      </c>
      <c r="J70" s="192"/>
      <c r="K70" s="239"/>
      <c r="L70" s="240"/>
    </row>
    <row r="71" ht="15.75" customHeight="1" spans="1:12">
      <c r="A71" s="130" t="s">
        <v>324</v>
      </c>
      <c r="B71" s="242" t="s">
        <v>432</v>
      </c>
      <c r="C71" s="63"/>
      <c r="D71" s="63"/>
      <c r="E71" s="63"/>
      <c r="F71" s="63"/>
      <c r="G71" s="71"/>
      <c r="H71" s="133">
        <f>ROUND(H70*H48,4)</f>
        <v>0.0065</v>
      </c>
      <c r="I71" s="197">
        <f t="shared" si="5"/>
        <v>21.69</v>
      </c>
      <c r="J71" s="192"/>
      <c r="K71" s="271"/>
      <c r="L71" s="272"/>
    </row>
    <row r="72" ht="15.75" customHeight="1" spans="1:12">
      <c r="A72" s="130" t="s">
        <v>367</v>
      </c>
      <c r="B72" s="121" t="s">
        <v>433</v>
      </c>
      <c r="C72" s="63"/>
      <c r="D72" s="63"/>
      <c r="E72" s="63"/>
      <c r="F72" s="63"/>
      <c r="G72" s="71"/>
      <c r="H72" s="133">
        <v>0.04</v>
      </c>
      <c r="I72" s="197">
        <f t="shared" si="5"/>
        <v>133.48</v>
      </c>
      <c r="J72" s="194">
        <f>I72</f>
        <v>133.48</v>
      </c>
      <c r="K72" s="168"/>
      <c r="L72" s="168"/>
    </row>
    <row r="73" ht="15.75" customHeight="1" spans="1:12">
      <c r="A73" s="119" t="s">
        <v>434</v>
      </c>
      <c r="B73" s="63"/>
      <c r="C73" s="63"/>
      <c r="D73" s="63"/>
      <c r="E73" s="63"/>
      <c r="F73" s="63"/>
      <c r="G73" s="71"/>
      <c r="H73" s="134">
        <f t="shared" ref="H73:I73" si="6">SUM(H68:H72)</f>
        <v>0.0695</v>
      </c>
      <c r="I73" s="193">
        <f t="shared" si="6"/>
        <v>231.93</v>
      </c>
      <c r="J73" s="192"/>
      <c r="K73" s="168"/>
      <c r="L73" s="168"/>
    </row>
    <row r="74" ht="15.75" customHeight="1" spans="1:12">
      <c r="A74" s="135" t="s">
        <v>435</v>
      </c>
      <c r="B74" s="136"/>
      <c r="C74" s="136"/>
      <c r="D74" s="136"/>
      <c r="E74" s="136"/>
      <c r="F74" s="136"/>
      <c r="G74" s="137" t="s">
        <v>381</v>
      </c>
      <c r="H74" s="63"/>
      <c r="I74" s="198">
        <f>I29</f>
        <v>1756.74</v>
      </c>
      <c r="J74" s="192"/>
      <c r="K74" s="168"/>
      <c r="L74" s="168"/>
    </row>
    <row r="75" ht="15.75" customHeight="1" spans="1:12">
      <c r="A75" s="138"/>
      <c r="F75" s="139"/>
      <c r="G75" s="137" t="s">
        <v>426</v>
      </c>
      <c r="H75" s="63"/>
      <c r="I75" s="198">
        <f>I62</f>
        <v>1580.37</v>
      </c>
      <c r="J75" s="192"/>
      <c r="K75" s="273"/>
      <c r="L75" s="168"/>
    </row>
    <row r="76" ht="15.75" customHeight="1" spans="1:12">
      <c r="A76" s="138"/>
      <c r="F76" s="139"/>
      <c r="G76" s="137" t="s">
        <v>436</v>
      </c>
      <c r="H76" s="63"/>
      <c r="I76" s="198">
        <f>I73</f>
        <v>231.93</v>
      </c>
      <c r="J76" s="192"/>
      <c r="K76" s="273"/>
      <c r="L76" s="168"/>
    </row>
    <row r="77" ht="15.75" customHeight="1" spans="1:12">
      <c r="A77" s="138"/>
      <c r="B77" s="139"/>
      <c r="C77" s="139"/>
      <c r="D77" s="139"/>
      <c r="E77" s="139"/>
      <c r="F77" s="139"/>
      <c r="G77" s="142" t="s">
        <v>384</v>
      </c>
      <c r="H77" s="63"/>
      <c r="I77" s="201">
        <f>SUM(I74:I76)</f>
        <v>3569.04</v>
      </c>
      <c r="J77" s="192"/>
      <c r="K77" s="273"/>
      <c r="L77" s="168"/>
    </row>
    <row r="78" ht="15.75" customHeight="1" spans="1:12">
      <c r="A78" s="119" t="s">
        <v>437</v>
      </c>
      <c r="B78" s="63"/>
      <c r="C78" s="63"/>
      <c r="D78" s="63"/>
      <c r="E78" s="63"/>
      <c r="F78" s="63"/>
      <c r="G78" s="63"/>
      <c r="H78" s="63"/>
      <c r="I78" s="71"/>
      <c r="J78" s="195"/>
      <c r="K78" s="273"/>
      <c r="L78" s="168"/>
    </row>
    <row r="79" ht="15.75" customHeight="1" spans="1:12">
      <c r="A79" s="119" t="s">
        <v>438</v>
      </c>
      <c r="B79" s="63"/>
      <c r="C79" s="63"/>
      <c r="D79" s="63"/>
      <c r="E79" s="63"/>
      <c r="F79" s="63"/>
      <c r="G79" s="71"/>
      <c r="H79" s="131" t="s">
        <v>356</v>
      </c>
      <c r="I79" s="131" t="s">
        <v>357</v>
      </c>
      <c r="J79" s="192"/>
      <c r="K79" s="273"/>
      <c r="L79" s="168"/>
    </row>
    <row r="80" ht="15.75" customHeight="1" spans="1:12">
      <c r="A80" s="130" t="s">
        <v>315</v>
      </c>
      <c r="B80" s="121" t="s">
        <v>439</v>
      </c>
      <c r="C80" s="63"/>
      <c r="D80" s="63"/>
      <c r="E80" s="63"/>
      <c r="F80" s="63"/>
      <c r="G80" s="71"/>
      <c r="H80" s="133">
        <f>ROUND(((1+1/3)/12)/12,4)</f>
        <v>0.0093</v>
      </c>
      <c r="I80" s="197">
        <f t="shared" ref="I80:I85" si="7">ROUND(H80*$I$77,2)</f>
        <v>33.19</v>
      </c>
      <c r="J80" s="192"/>
      <c r="K80" s="273"/>
      <c r="L80" s="168"/>
    </row>
    <row r="81" ht="15.75" customHeight="1" spans="1:12">
      <c r="A81" s="310" t="s">
        <v>317</v>
      </c>
      <c r="B81" s="311" t="s">
        <v>440</v>
      </c>
      <c r="C81" s="303"/>
      <c r="D81" s="303"/>
      <c r="E81" s="303"/>
      <c r="F81" s="303"/>
      <c r="G81" s="304"/>
      <c r="H81" s="312">
        <f>ROUND(1/30/12,4)</f>
        <v>0.0028</v>
      </c>
      <c r="I81" s="318">
        <f t="shared" si="7"/>
        <v>9.99</v>
      </c>
      <c r="J81" s="192"/>
      <c r="K81" s="273"/>
      <c r="L81" s="275"/>
    </row>
    <row r="82" ht="15.75" customHeight="1" spans="1:12">
      <c r="A82" s="310" t="s">
        <v>320</v>
      </c>
      <c r="B82" s="311" t="s">
        <v>441</v>
      </c>
      <c r="C82" s="303"/>
      <c r="D82" s="303"/>
      <c r="E82" s="303"/>
      <c r="F82" s="303"/>
      <c r="G82" s="304"/>
      <c r="H82" s="312">
        <f>ROUND(((5/30)/12)*1.5%,4)</f>
        <v>0.0002</v>
      </c>
      <c r="I82" s="318">
        <f t="shared" si="7"/>
        <v>0.71</v>
      </c>
      <c r="J82" s="192"/>
      <c r="K82" s="273"/>
      <c r="L82" s="168"/>
    </row>
    <row r="83" ht="15.75" customHeight="1" spans="1:12">
      <c r="A83" s="310" t="s">
        <v>324</v>
      </c>
      <c r="B83" s="311" t="s">
        <v>442</v>
      </c>
      <c r="C83" s="303"/>
      <c r="D83" s="303"/>
      <c r="E83" s="303"/>
      <c r="F83" s="303"/>
      <c r="G83" s="304"/>
      <c r="H83" s="312">
        <f>ROUND(((15/30)/12)*6.5%,4)</f>
        <v>0.0027</v>
      </c>
      <c r="I83" s="318">
        <f t="shared" si="7"/>
        <v>9.64</v>
      </c>
      <c r="J83" s="192"/>
      <c r="K83" s="168"/>
      <c r="L83" s="168"/>
    </row>
    <row r="84" ht="15.75" customHeight="1" spans="1:12">
      <c r="A84" s="130" t="s">
        <v>367</v>
      </c>
      <c r="B84" s="121" t="s">
        <v>443</v>
      </c>
      <c r="C84" s="63"/>
      <c r="D84" s="63"/>
      <c r="E84" s="63"/>
      <c r="F84" s="63"/>
      <c r="G84" s="71"/>
      <c r="H84" s="133">
        <f>ROUND(((1+1/3)/12*4/12)*2%,4)</f>
        <v>0.0007</v>
      </c>
      <c r="I84" s="197">
        <f t="shared" si="7"/>
        <v>2.5</v>
      </c>
      <c r="J84" s="192"/>
      <c r="K84" s="168"/>
      <c r="L84" s="168"/>
    </row>
    <row r="85" ht="15.75" customHeight="1" spans="1:12">
      <c r="A85" s="246" t="s">
        <v>370</v>
      </c>
      <c r="B85" s="247" t="s">
        <v>444</v>
      </c>
      <c r="C85" s="63"/>
      <c r="D85" s="63"/>
      <c r="E85" s="63"/>
      <c r="F85" s="63"/>
      <c r="G85" s="71"/>
      <c r="H85" s="248">
        <v>0</v>
      </c>
      <c r="I85" s="197">
        <f t="shared" si="7"/>
        <v>0</v>
      </c>
      <c r="J85" s="192"/>
      <c r="K85" s="168"/>
      <c r="L85" s="168"/>
    </row>
    <row r="86" ht="15.75" customHeight="1" spans="1:12">
      <c r="A86" s="119" t="s">
        <v>445</v>
      </c>
      <c r="B86" s="63"/>
      <c r="C86" s="63"/>
      <c r="D86" s="63"/>
      <c r="E86" s="63"/>
      <c r="F86" s="63"/>
      <c r="G86" s="71"/>
      <c r="H86" s="134">
        <f t="shared" ref="H86:I86" si="8">SUM(H80:H85)</f>
        <v>0.0157</v>
      </c>
      <c r="I86" s="319">
        <f t="shared" si="8"/>
        <v>56.03</v>
      </c>
      <c r="J86" s="192"/>
      <c r="K86" s="168"/>
      <c r="L86" s="168"/>
    </row>
    <row r="87" ht="15.75" customHeight="1" spans="1:12">
      <c r="A87" s="143"/>
      <c r="B87" s="63"/>
      <c r="C87" s="63"/>
      <c r="D87" s="63"/>
      <c r="E87" s="63"/>
      <c r="F87" s="63"/>
      <c r="G87" s="63"/>
      <c r="H87" s="63"/>
      <c r="I87" s="71"/>
      <c r="J87" s="192"/>
      <c r="K87" s="168"/>
      <c r="L87" s="168"/>
    </row>
    <row r="88" ht="15.75" customHeight="1" spans="1:12">
      <c r="A88" s="249" t="s">
        <v>446</v>
      </c>
      <c r="B88" s="63"/>
      <c r="C88" s="63"/>
      <c r="D88" s="63"/>
      <c r="E88" s="63"/>
      <c r="F88" s="63"/>
      <c r="G88" s="71"/>
      <c r="H88" s="250" t="s">
        <v>356</v>
      </c>
      <c r="I88" s="250" t="s">
        <v>357</v>
      </c>
      <c r="J88" s="192"/>
      <c r="K88" s="168"/>
      <c r="L88" s="276"/>
    </row>
    <row r="89" ht="15.75" customHeight="1" spans="1:12">
      <c r="A89" s="246" t="s">
        <v>315</v>
      </c>
      <c r="B89" s="247" t="s">
        <v>447</v>
      </c>
      <c r="C89" s="63"/>
      <c r="D89" s="63"/>
      <c r="E89" s="63"/>
      <c r="F89" s="63"/>
      <c r="G89" s="71"/>
      <c r="H89" s="248">
        <v>0</v>
      </c>
      <c r="I89" s="277">
        <f>I29*H89</f>
        <v>0</v>
      </c>
      <c r="J89" s="192"/>
      <c r="K89" s="278"/>
      <c r="L89" s="168"/>
    </row>
    <row r="90" ht="15.75" customHeight="1" spans="1:12">
      <c r="A90" s="249" t="s">
        <v>448</v>
      </c>
      <c r="B90" s="63"/>
      <c r="C90" s="63"/>
      <c r="D90" s="63"/>
      <c r="E90" s="63"/>
      <c r="F90" s="63"/>
      <c r="G90" s="71"/>
      <c r="H90" s="251">
        <f t="shared" ref="H90:I90" si="9">H89</f>
        <v>0</v>
      </c>
      <c r="I90" s="279">
        <f t="shared" si="9"/>
        <v>0</v>
      </c>
      <c r="J90" s="192"/>
      <c r="K90" s="168"/>
      <c r="L90" s="168"/>
    </row>
    <row r="91" ht="15.75" customHeight="1" spans="1:12">
      <c r="A91" s="143"/>
      <c r="B91" s="63"/>
      <c r="C91" s="63"/>
      <c r="D91" s="63"/>
      <c r="E91" s="63"/>
      <c r="F91" s="63"/>
      <c r="G91" s="63"/>
      <c r="H91" s="63"/>
      <c r="I91" s="71"/>
      <c r="J91" s="192"/>
      <c r="K91" s="168"/>
      <c r="L91" s="168"/>
    </row>
    <row r="92" ht="15.75" customHeight="1" spans="1:12">
      <c r="A92" s="119" t="s">
        <v>449</v>
      </c>
      <c r="B92" s="63"/>
      <c r="C92" s="63"/>
      <c r="D92" s="63"/>
      <c r="E92" s="63"/>
      <c r="F92" s="63"/>
      <c r="G92" s="63"/>
      <c r="H92" s="63"/>
      <c r="I92" s="71"/>
      <c r="J92" s="192"/>
      <c r="K92" s="280"/>
      <c r="L92" s="168"/>
    </row>
    <row r="93" ht="15.75" customHeight="1" spans="1:12">
      <c r="A93" s="119" t="s">
        <v>450</v>
      </c>
      <c r="B93" s="63"/>
      <c r="C93" s="63"/>
      <c r="D93" s="63"/>
      <c r="E93" s="63"/>
      <c r="F93" s="63"/>
      <c r="G93" s="63"/>
      <c r="H93" s="71"/>
      <c r="I93" s="131" t="s">
        <v>357</v>
      </c>
      <c r="J93" s="192"/>
      <c r="K93" s="168"/>
      <c r="L93" s="168"/>
    </row>
    <row r="94" ht="15.75" customHeight="1" spans="1:12">
      <c r="A94" s="130" t="s">
        <v>451</v>
      </c>
      <c r="B94" s="117" t="s">
        <v>452</v>
      </c>
      <c r="C94" s="63"/>
      <c r="D94" s="63"/>
      <c r="E94" s="63"/>
      <c r="F94" s="63"/>
      <c r="G94" s="63"/>
      <c r="H94" s="71"/>
      <c r="I94" s="197">
        <f>I86</f>
        <v>56.03</v>
      </c>
      <c r="J94" s="192"/>
      <c r="K94" s="168"/>
      <c r="L94" s="168"/>
    </row>
    <row r="95" ht="15.75" customHeight="1" spans="1:12">
      <c r="A95" s="246" t="s">
        <v>453</v>
      </c>
      <c r="B95" s="252" t="s">
        <v>454</v>
      </c>
      <c r="C95" s="63"/>
      <c r="D95" s="63"/>
      <c r="E95" s="63"/>
      <c r="F95" s="63"/>
      <c r="G95" s="63"/>
      <c r="H95" s="71"/>
      <c r="I95" s="277">
        <f>I90</f>
        <v>0</v>
      </c>
      <c r="J95" s="192"/>
      <c r="K95" s="168"/>
      <c r="L95" s="168"/>
    </row>
    <row r="96" ht="15.75" customHeight="1" spans="1:12">
      <c r="A96" s="119" t="s">
        <v>455</v>
      </c>
      <c r="B96" s="63"/>
      <c r="C96" s="63"/>
      <c r="D96" s="63"/>
      <c r="E96" s="63"/>
      <c r="F96" s="63"/>
      <c r="G96" s="63"/>
      <c r="H96" s="71"/>
      <c r="I96" s="193">
        <f>SUM(I94:I95)</f>
        <v>56.03</v>
      </c>
      <c r="J96" s="192"/>
      <c r="K96" s="168"/>
      <c r="L96" s="168"/>
    </row>
    <row r="97" ht="15.75" customHeight="1" spans="1:12">
      <c r="A97" s="143"/>
      <c r="B97" s="63"/>
      <c r="C97" s="63"/>
      <c r="D97" s="63"/>
      <c r="E97" s="63"/>
      <c r="F97" s="63"/>
      <c r="G97" s="63"/>
      <c r="H97" s="63"/>
      <c r="I97" s="71"/>
      <c r="J97" s="192"/>
      <c r="K97" s="168"/>
      <c r="L97" s="168"/>
    </row>
    <row r="98" ht="15.75" customHeight="1" spans="1:12">
      <c r="A98" s="119" t="s">
        <v>456</v>
      </c>
      <c r="B98" s="63"/>
      <c r="C98" s="63"/>
      <c r="D98" s="63"/>
      <c r="E98" s="63"/>
      <c r="F98" s="63"/>
      <c r="G98" s="63"/>
      <c r="H98" s="63"/>
      <c r="I98" s="71"/>
      <c r="J98" s="192"/>
      <c r="K98" s="168"/>
      <c r="L98" s="168"/>
    </row>
    <row r="99" ht="15.75" customHeight="1" spans="1:12">
      <c r="A99" s="131">
        <v>5</v>
      </c>
      <c r="B99" s="119" t="s">
        <v>457</v>
      </c>
      <c r="C99" s="63"/>
      <c r="D99" s="63"/>
      <c r="E99" s="63"/>
      <c r="F99" s="63"/>
      <c r="G99" s="71"/>
      <c r="H99" s="131"/>
      <c r="I99" s="131" t="s">
        <v>357</v>
      </c>
      <c r="J99" s="192"/>
      <c r="K99" s="168"/>
      <c r="L99" s="168"/>
    </row>
    <row r="100" ht="15.75" customHeight="1" spans="1:12">
      <c r="A100" s="313" t="s">
        <v>315</v>
      </c>
      <c r="B100" s="129" t="s">
        <v>458</v>
      </c>
      <c r="C100" s="63"/>
      <c r="D100" s="63"/>
      <c r="E100" s="63"/>
      <c r="F100" s="63"/>
      <c r="G100" s="71"/>
      <c r="H100" s="314" t="s">
        <v>299</v>
      </c>
      <c r="I100" s="197">
        <v>0</v>
      </c>
      <c r="J100" s="192"/>
      <c r="K100" s="168"/>
      <c r="L100" s="168"/>
    </row>
    <row r="101" ht="15.75" customHeight="1" spans="1:12">
      <c r="A101" s="313" t="s">
        <v>317</v>
      </c>
      <c r="B101" s="129" t="s">
        <v>459</v>
      </c>
      <c r="C101" s="63"/>
      <c r="D101" s="63"/>
      <c r="E101" s="63"/>
      <c r="F101" s="63"/>
      <c r="G101" s="71"/>
      <c r="H101" s="314" t="s">
        <v>299</v>
      </c>
      <c r="I101" s="197">
        <v>0</v>
      </c>
      <c r="J101" s="192"/>
      <c r="K101" s="168"/>
      <c r="L101" s="168"/>
    </row>
    <row r="102" ht="15.75" customHeight="1" spans="1:12">
      <c r="A102" s="313" t="s">
        <v>320</v>
      </c>
      <c r="B102" s="129" t="s">
        <v>460</v>
      </c>
      <c r="C102" s="63"/>
      <c r="D102" s="63"/>
      <c r="E102" s="63"/>
      <c r="F102" s="63"/>
      <c r="G102" s="71"/>
      <c r="H102" s="314" t="s">
        <v>299</v>
      </c>
      <c r="I102" s="197">
        <v>19.77</v>
      </c>
      <c r="J102" s="192"/>
      <c r="K102" s="168"/>
      <c r="L102" s="168"/>
    </row>
    <row r="103" ht="15.75" customHeight="1" spans="1:12">
      <c r="A103" s="313" t="s">
        <v>324</v>
      </c>
      <c r="B103" s="129" t="s">
        <v>461</v>
      </c>
      <c r="C103" s="63"/>
      <c r="D103" s="63"/>
      <c r="E103" s="63"/>
      <c r="F103" s="63"/>
      <c r="G103" s="71"/>
      <c r="H103" s="315" t="s">
        <v>299</v>
      </c>
      <c r="I103" s="197">
        <v>0.76</v>
      </c>
      <c r="J103" s="192"/>
      <c r="K103" s="168"/>
      <c r="L103" s="168"/>
    </row>
    <row r="104" ht="15.75" customHeight="1" spans="1:12">
      <c r="A104" s="119" t="s">
        <v>462</v>
      </c>
      <c r="B104" s="63"/>
      <c r="C104" s="63"/>
      <c r="D104" s="63"/>
      <c r="E104" s="63"/>
      <c r="F104" s="63"/>
      <c r="G104" s="71"/>
      <c r="H104" s="134" t="s">
        <v>299</v>
      </c>
      <c r="I104" s="193">
        <f>SUM(I100:I103)</f>
        <v>20.53</v>
      </c>
      <c r="J104" s="192"/>
      <c r="K104" s="168"/>
      <c r="L104" s="168"/>
    </row>
    <row r="105" ht="15.75" customHeight="1" spans="1:12">
      <c r="A105" s="135" t="s">
        <v>463</v>
      </c>
      <c r="B105" s="136"/>
      <c r="C105" s="136"/>
      <c r="D105" s="136"/>
      <c r="E105" s="136"/>
      <c r="F105" s="136"/>
      <c r="G105" s="137" t="s">
        <v>381</v>
      </c>
      <c r="H105" s="63"/>
      <c r="I105" s="198">
        <f>I29</f>
        <v>1756.74</v>
      </c>
      <c r="J105" s="192"/>
      <c r="K105" s="168"/>
      <c r="L105" s="168"/>
    </row>
    <row r="106" ht="15.75" customHeight="1" spans="1:12">
      <c r="A106" s="138"/>
      <c r="F106" s="139"/>
      <c r="G106" s="137" t="s">
        <v>426</v>
      </c>
      <c r="H106" s="63"/>
      <c r="I106" s="198">
        <f>I62</f>
        <v>1580.37</v>
      </c>
      <c r="J106" s="192"/>
      <c r="K106" s="168"/>
      <c r="L106" s="168"/>
    </row>
    <row r="107" ht="15.75" customHeight="1" spans="1:12">
      <c r="A107" s="138"/>
      <c r="F107" s="139"/>
      <c r="G107" s="137" t="s">
        <v>436</v>
      </c>
      <c r="H107" s="63"/>
      <c r="I107" s="198">
        <f>I73</f>
        <v>231.93</v>
      </c>
      <c r="J107" s="192"/>
      <c r="K107" s="168"/>
      <c r="L107" s="168"/>
    </row>
    <row r="108" ht="15.75" customHeight="1" spans="1:12">
      <c r="A108" s="138"/>
      <c r="F108" s="139"/>
      <c r="G108" s="137" t="s">
        <v>464</v>
      </c>
      <c r="H108" s="63"/>
      <c r="I108" s="198">
        <f>I96</f>
        <v>56.03</v>
      </c>
      <c r="J108" s="192"/>
      <c r="K108" s="168"/>
      <c r="L108" s="168"/>
    </row>
    <row r="109" ht="15.75" customHeight="1" spans="1:12">
      <c r="A109" s="138"/>
      <c r="F109" s="139"/>
      <c r="G109" s="137" t="s">
        <v>465</v>
      </c>
      <c r="H109" s="63"/>
      <c r="I109" s="198">
        <f>I104</f>
        <v>20.53</v>
      </c>
      <c r="J109" s="192"/>
      <c r="K109" s="168"/>
      <c r="L109" s="168"/>
    </row>
    <row r="110" ht="15.75" customHeight="1" spans="1:12">
      <c r="A110" s="138"/>
      <c r="B110" s="139"/>
      <c r="C110" s="139"/>
      <c r="D110" s="139"/>
      <c r="E110" s="139"/>
      <c r="F110" s="139"/>
      <c r="G110" s="142" t="s">
        <v>384</v>
      </c>
      <c r="H110" s="63"/>
      <c r="I110" s="201">
        <f>SUM(I105:I109)</f>
        <v>3645.6</v>
      </c>
      <c r="J110" s="192"/>
      <c r="K110" s="205"/>
      <c r="L110" s="205"/>
    </row>
    <row r="111" ht="15.75" customHeight="1" spans="1:12">
      <c r="A111" s="119" t="s">
        <v>466</v>
      </c>
      <c r="B111" s="63"/>
      <c r="C111" s="63"/>
      <c r="D111" s="63"/>
      <c r="E111" s="63"/>
      <c r="F111" s="63"/>
      <c r="G111" s="63"/>
      <c r="H111" s="63"/>
      <c r="I111" s="71"/>
      <c r="J111" s="192"/>
      <c r="K111" s="205"/>
      <c r="L111" s="205"/>
    </row>
    <row r="112" ht="15.75" customHeight="1" spans="1:12">
      <c r="A112" s="131">
        <v>6</v>
      </c>
      <c r="B112" s="119" t="s">
        <v>467</v>
      </c>
      <c r="C112" s="63"/>
      <c r="D112" s="63"/>
      <c r="E112" s="63"/>
      <c r="F112" s="63"/>
      <c r="G112" s="71"/>
      <c r="H112" s="131" t="s">
        <v>356</v>
      </c>
      <c r="I112" s="131" t="s">
        <v>357</v>
      </c>
      <c r="J112" s="192"/>
      <c r="K112" s="168"/>
      <c r="L112" s="168"/>
    </row>
    <row r="113" ht="15.75" customHeight="1" spans="1:12">
      <c r="A113" s="130" t="s">
        <v>315</v>
      </c>
      <c r="B113" s="121" t="s">
        <v>468</v>
      </c>
      <c r="C113" s="63"/>
      <c r="D113" s="63"/>
      <c r="E113" s="63"/>
      <c r="F113" s="63"/>
      <c r="G113" s="71"/>
      <c r="H113" s="316">
        <v>0.0071</v>
      </c>
      <c r="I113" s="197">
        <f>ROUND(H113*I110,2)</f>
        <v>25.88</v>
      </c>
      <c r="J113" s="192"/>
      <c r="K113" s="168"/>
      <c r="L113" s="168"/>
    </row>
    <row r="114" ht="15.75" customHeight="1" spans="1:12">
      <c r="A114" s="130" t="s">
        <v>317</v>
      </c>
      <c r="B114" s="121" t="s">
        <v>469</v>
      </c>
      <c r="C114" s="63"/>
      <c r="D114" s="63"/>
      <c r="E114" s="63"/>
      <c r="F114" s="63"/>
      <c r="G114" s="71"/>
      <c r="H114" s="316">
        <v>0.007</v>
      </c>
      <c r="I114" s="197">
        <f>ROUND(H114*(I110+I113),2)</f>
        <v>25.7</v>
      </c>
      <c r="J114" s="192"/>
      <c r="K114" s="168"/>
      <c r="L114" s="168"/>
    </row>
    <row r="115" ht="15.75" customHeight="1" spans="1:12">
      <c r="A115" s="130" t="s">
        <v>320</v>
      </c>
      <c r="B115" s="258" t="s">
        <v>470</v>
      </c>
      <c r="C115" s="63"/>
      <c r="D115" s="63"/>
      <c r="E115" s="63"/>
      <c r="F115" s="63"/>
      <c r="G115" s="71"/>
      <c r="H115" s="133"/>
      <c r="I115" s="282"/>
      <c r="J115" s="192"/>
      <c r="K115" s="168"/>
      <c r="L115" s="168"/>
    </row>
    <row r="116" ht="15.75" customHeight="1" spans="1:12">
      <c r="A116" s="144" t="s">
        <v>471</v>
      </c>
      <c r="B116" s="259" t="s">
        <v>472</v>
      </c>
      <c r="C116" s="146"/>
      <c r="D116" s="146"/>
      <c r="E116" s="146"/>
      <c r="F116" s="146"/>
      <c r="G116" s="147"/>
      <c r="H116" s="260">
        <v>0.0144</v>
      </c>
      <c r="I116" s="274">
        <f t="shared" ref="I116:I118" si="10">ROUND($I$126*H116,2)</f>
        <v>61.03</v>
      </c>
      <c r="J116" s="192"/>
      <c r="K116" s="168"/>
      <c r="L116" s="168"/>
    </row>
    <row r="117" ht="15.75" customHeight="1" spans="1:12">
      <c r="A117" s="144" t="s">
        <v>473</v>
      </c>
      <c r="B117" s="259" t="s">
        <v>373</v>
      </c>
      <c r="C117" s="146"/>
      <c r="D117" s="146"/>
      <c r="E117" s="146"/>
      <c r="F117" s="146"/>
      <c r="G117" s="147"/>
      <c r="H117" s="261">
        <v>0.0632</v>
      </c>
      <c r="I117" s="274">
        <f t="shared" si="10"/>
        <v>267.84</v>
      </c>
      <c r="J117" s="192"/>
      <c r="K117" s="168"/>
      <c r="L117" s="168"/>
    </row>
    <row r="118" ht="15.75" customHeight="1" spans="1:12">
      <c r="A118" s="130" t="s">
        <v>474</v>
      </c>
      <c r="B118" s="121" t="s">
        <v>475</v>
      </c>
      <c r="C118" s="63"/>
      <c r="D118" s="63"/>
      <c r="E118" s="63"/>
      <c r="F118" s="63"/>
      <c r="G118" s="71"/>
      <c r="H118" s="317">
        <v>0.05</v>
      </c>
      <c r="I118" s="197">
        <f t="shared" si="10"/>
        <v>211.9</v>
      </c>
      <c r="J118" s="192"/>
      <c r="K118" s="168"/>
      <c r="L118" s="168"/>
    </row>
    <row r="119" ht="15.75" customHeight="1" spans="1:12">
      <c r="A119" s="119" t="s">
        <v>476</v>
      </c>
      <c r="B119" s="63"/>
      <c r="C119" s="63"/>
      <c r="D119" s="63"/>
      <c r="E119" s="63"/>
      <c r="F119" s="63"/>
      <c r="G119" s="71"/>
      <c r="H119" s="263">
        <f t="shared" ref="H119:I119" si="11">SUM(H113:H118)</f>
        <v>0.1417</v>
      </c>
      <c r="I119" s="193">
        <f t="shared" si="11"/>
        <v>592.35</v>
      </c>
      <c r="J119" s="192"/>
      <c r="K119" s="168"/>
      <c r="L119" s="168"/>
    </row>
    <row r="120" ht="15.75" customHeight="1" spans="1:12">
      <c r="A120" s="122"/>
      <c r="I120" s="158"/>
      <c r="J120" s="192"/>
      <c r="K120" s="168"/>
      <c r="L120" s="168"/>
    </row>
    <row r="121" ht="15.75" customHeight="1" spans="1:12">
      <c r="A121" s="264" t="s">
        <v>477</v>
      </c>
      <c r="B121" s="265" t="s">
        <v>478</v>
      </c>
      <c r="H121" s="266">
        <f>SUM(H116+H117+H118)</f>
        <v>0.1276</v>
      </c>
      <c r="I121" s="283"/>
      <c r="J121" s="192"/>
      <c r="K121" s="168"/>
      <c r="L121" s="168"/>
    </row>
    <row r="122" ht="15.75" customHeight="1" spans="1:12">
      <c r="A122" s="264"/>
      <c r="B122" s="265">
        <v>100</v>
      </c>
      <c r="H122" s="266"/>
      <c r="I122" s="283"/>
      <c r="J122" s="192"/>
      <c r="K122" s="168"/>
      <c r="L122" s="168"/>
    </row>
    <row r="123" ht="15.75" customHeight="1" spans="1:12">
      <c r="A123" s="267"/>
      <c r="B123" s="268"/>
      <c r="C123" s="268"/>
      <c r="D123" s="268"/>
      <c r="E123" s="268"/>
      <c r="F123" s="268"/>
      <c r="G123" s="268"/>
      <c r="H123" s="268"/>
      <c r="I123" s="284"/>
      <c r="J123" s="192"/>
      <c r="K123" s="168"/>
      <c r="L123" s="168"/>
    </row>
    <row r="124" ht="15.75" customHeight="1" spans="1:12">
      <c r="A124" s="264" t="s">
        <v>479</v>
      </c>
      <c r="B124" s="265" t="s">
        <v>480</v>
      </c>
      <c r="H124" s="266"/>
      <c r="I124" s="283">
        <f>I110+I113+I114</f>
        <v>3697.18</v>
      </c>
      <c r="J124" s="192"/>
      <c r="K124" s="168"/>
      <c r="L124" s="168"/>
    </row>
    <row r="125" ht="15.75" customHeight="1" spans="1:12">
      <c r="A125" s="269"/>
      <c r="B125" s="270"/>
      <c r="C125" s="270"/>
      <c r="D125" s="270"/>
      <c r="E125" s="270"/>
      <c r="F125" s="270"/>
      <c r="G125" s="270"/>
      <c r="H125" s="270"/>
      <c r="I125" s="285"/>
      <c r="J125" s="192"/>
      <c r="K125" s="205"/>
      <c r="L125" s="205"/>
    </row>
    <row r="126" ht="15.75" customHeight="1" spans="1:12">
      <c r="A126" s="264" t="s">
        <v>481</v>
      </c>
      <c r="B126" s="265" t="s">
        <v>482</v>
      </c>
      <c r="H126" s="266"/>
      <c r="I126" s="283">
        <f>ROUND(I124/(1-H121),2)</f>
        <v>4237.94</v>
      </c>
      <c r="J126" s="192"/>
      <c r="K126" s="168"/>
      <c r="L126" s="168"/>
    </row>
    <row r="127" ht="15.75" customHeight="1" spans="1:12">
      <c r="A127" s="264"/>
      <c r="B127" s="265"/>
      <c r="C127" s="265"/>
      <c r="D127" s="265"/>
      <c r="E127" s="265"/>
      <c r="F127" s="265"/>
      <c r="G127" s="265"/>
      <c r="H127" s="266"/>
      <c r="I127" s="283"/>
      <c r="J127" s="192"/>
      <c r="K127" s="168"/>
      <c r="L127" s="168"/>
    </row>
    <row r="128" ht="15.75" customHeight="1" spans="1:12">
      <c r="A128" s="264"/>
      <c r="B128" s="265" t="s">
        <v>483</v>
      </c>
      <c r="H128" s="266"/>
      <c r="I128" s="283">
        <f>I126-I124</f>
        <v>540.759999999999</v>
      </c>
      <c r="J128" s="192"/>
      <c r="K128" s="168"/>
      <c r="L128" s="168"/>
    </row>
    <row r="129" ht="15.75" customHeight="1" spans="1:12">
      <c r="A129" s="119" t="s">
        <v>484</v>
      </c>
      <c r="B129" s="63"/>
      <c r="C129" s="63"/>
      <c r="D129" s="63"/>
      <c r="E129" s="63"/>
      <c r="F129" s="63"/>
      <c r="G129" s="63"/>
      <c r="H129" s="63"/>
      <c r="I129" s="71"/>
      <c r="J129" s="192"/>
      <c r="K129" s="168"/>
      <c r="L129" s="168"/>
    </row>
    <row r="130" ht="15.75" customHeight="1" spans="1:12">
      <c r="A130" s="119" t="s">
        <v>485</v>
      </c>
      <c r="B130" s="63"/>
      <c r="C130" s="63"/>
      <c r="D130" s="63"/>
      <c r="E130" s="63"/>
      <c r="F130" s="63"/>
      <c r="G130" s="63"/>
      <c r="H130" s="71"/>
      <c r="I130" s="131" t="s">
        <v>357</v>
      </c>
      <c r="J130" s="192"/>
      <c r="K130" s="168"/>
      <c r="L130" s="168"/>
    </row>
    <row r="131" ht="15.75" customHeight="1" spans="1:12">
      <c r="A131" s="120" t="s">
        <v>315</v>
      </c>
      <c r="B131" s="121" t="str">
        <f>A21</f>
        <v>MÓDULO 1 - COMPOSIÇÃO DA REMUNERAÇÃO</v>
      </c>
      <c r="C131" s="63"/>
      <c r="D131" s="63"/>
      <c r="E131" s="63"/>
      <c r="F131" s="63"/>
      <c r="G131" s="63"/>
      <c r="H131" s="71"/>
      <c r="I131" s="197">
        <f>I29</f>
        <v>1756.74</v>
      </c>
      <c r="J131" s="192"/>
      <c r="K131" s="168"/>
      <c r="L131" s="168"/>
    </row>
    <row r="132" ht="15.75" customHeight="1" spans="1:12">
      <c r="A132" s="120" t="s">
        <v>317</v>
      </c>
      <c r="B132" s="121" t="str">
        <f>A31</f>
        <v>MÓDULO 2 – ENCARGOS E BENEFÍCIOS ANUAIS, MENSAIS E DIÁRIOS</v>
      </c>
      <c r="C132" s="63"/>
      <c r="D132" s="63"/>
      <c r="E132" s="63"/>
      <c r="F132" s="63"/>
      <c r="G132" s="63"/>
      <c r="H132" s="71"/>
      <c r="I132" s="197">
        <f>I62</f>
        <v>1580.37</v>
      </c>
      <c r="J132" s="192"/>
      <c r="K132" s="168"/>
      <c r="L132" s="168"/>
    </row>
    <row r="133" ht="15.75" customHeight="1" spans="1:12">
      <c r="A133" s="120" t="s">
        <v>320</v>
      </c>
      <c r="B133" s="121" t="str">
        <f>A66</f>
        <v>MÓDULO 3 – PROVISÃO PARA RESCISÃO</v>
      </c>
      <c r="C133" s="63"/>
      <c r="D133" s="63"/>
      <c r="E133" s="63"/>
      <c r="F133" s="63"/>
      <c r="G133" s="63"/>
      <c r="H133" s="71"/>
      <c r="I133" s="197">
        <f>I73</f>
        <v>231.93</v>
      </c>
      <c r="J133" s="192"/>
      <c r="K133" s="205"/>
      <c r="L133" s="205"/>
    </row>
    <row r="134" ht="15.75" customHeight="1" spans="1:12">
      <c r="A134" s="120" t="s">
        <v>324</v>
      </c>
      <c r="B134" s="121" t="str">
        <f>A78</f>
        <v>MÓDULO 4 – CUSTO DE REPOSIÇÃO DO PROFISSIONAL AUSENTE</v>
      </c>
      <c r="C134" s="63"/>
      <c r="D134" s="63"/>
      <c r="E134" s="63"/>
      <c r="F134" s="63"/>
      <c r="G134" s="63"/>
      <c r="H134" s="71"/>
      <c r="I134" s="197">
        <f>I96</f>
        <v>56.03</v>
      </c>
      <c r="J134" s="192"/>
      <c r="K134" s="205"/>
      <c r="L134" s="205"/>
    </row>
    <row r="135" ht="15.75" customHeight="1" spans="1:12">
      <c r="A135" s="120" t="s">
        <v>367</v>
      </c>
      <c r="B135" s="121" t="str">
        <f>A98</f>
        <v>MÓDULO 5 – INSUMOS DIVERSOS</v>
      </c>
      <c r="C135" s="63"/>
      <c r="D135" s="63"/>
      <c r="E135" s="63"/>
      <c r="F135" s="63"/>
      <c r="G135" s="63"/>
      <c r="H135" s="71"/>
      <c r="I135" s="197">
        <f>I104</f>
        <v>20.53</v>
      </c>
      <c r="J135" s="295"/>
      <c r="K135" s="205"/>
      <c r="L135" s="205"/>
    </row>
    <row r="136" ht="15.75" customHeight="1" spans="1:12">
      <c r="A136" s="119" t="s">
        <v>486</v>
      </c>
      <c r="B136" s="63"/>
      <c r="C136" s="63"/>
      <c r="D136" s="63"/>
      <c r="E136" s="63"/>
      <c r="F136" s="63"/>
      <c r="G136" s="63"/>
      <c r="H136" s="71"/>
      <c r="I136" s="193">
        <f>SUM(I131:I135)</f>
        <v>3645.6</v>
      </c>
      <c r="J136" s="192"/>
      <c r="K136" s="157"/>
      <c r="L136" s="157"/>
    </row>
    <row r="137" ht="15.75" customHeight="1" spans="1:12">
      <c r="A137" s="120" t="s">
        <v>370</v>
      </c>
      <c r="B137" s="121" t="str">
        <f>A111</f>
        <v>MÓDULO 6 – CUSTOS INDIRETOS, TRIBUTOS E LUCRO</v>
      </c>
      <c r="C137" s="63"/>
      <c r="D137" s="63"/>
      <c r="E137" s="63"/>
      <c r="F137" s="63"/>
      <c r="G137" s="63"/>
      <c r="H137" s="71"/>
      <c r="I137" s="197">
        <f>I119</f>
        <v>592.35</v>
      </c>
      <c r="J137" s="192"/>
      <c r="K137" s="157"/>
      <c r="L137" s="157"/>
    </row>
    <row r="138" ht="15.75" customHeight="1" spans="1:12">
      <c r="A138" s="119" t="s">
        <v>487</v>
      </c>
      <c r="B138" s="63"/>
      <c r="C138" s="63"/>
      <c r="D138" s="63"/>
      <c r="E138" s="63"/>
      <c r="F138" s="63"/>
      <c r="G138" s="63"/>
      <c r="H138" s="71"/>
      <c r="I138" s="193">
        <f>SUM(I136:I137)</f>
        <v>4237.95</v>
      </c>
      <c r="J138" s="296">
        <f>SUM(J28:J137)</f>
        <v>2987.50095</v>
      </c>
      <c r="K138" s="157"/>
      <c r="L138" s="157"/>
    </row>
    <row r="139" ht="15.75" customHeight="1"/>
    <row r="140" ht="15.75" customHeight="1" spans="9:9">
      <c r="I140" s="299"/>
    </row>
    <row r="141" ht="15.75" customHeight="1" spans="9:9">
      <c r="I141" s="299"/>
    </row>
    <row r="142" ht="15.75" customHeight="1" spans="9:9">
      <c r="I142" s="299"/>
    </row>
    <row r="143" ht="15.75" customHeight="1" spans="9:9">
      <c r="I143" s="299"/>
    </row>
    <row r="144" ht="15.75" customHeight="1" spans="9:9">
      <c r="I144" s="299"/>
    </row>
    <row r="145" ht="15.75" customHeight="1" spans="9:9">
      <c r="I145" s="299"/>
    </row>
    <row r="146" ht="15.75" customHeight="1" spans="9:9">
      <c r="I146" s="299"/>
    </row>
    <row r="147" ht="15.75" customHeight="1" spans="9:9">
      <c r="I147" s="299"/>
    </row>
    <row r="148" ht="15.75" customHeight="1" spans="9:9">
      <c r="I148" s="299"/>
    </row>
    <row r="149" ht="15.75" customHeight="1" spans="9:9">
      <c r="I149" s="299"/>
    </row>
    <row r="150" ht="15.75" customHeight="1" spans="9:9">
      <c r="I150" s="299"/>
    </row>
    <row r="151" ht="15.75" customHeight="1" spans="9:9">
      <c r="I151" s="299"/>
    </row>
    <row r="152" ht="15.75" customHeight="1" spans="9:9">
      <c r="I152" s="299"/>
    </row>
    <row r="153" ht="15.75" customHeight="1" spans="9:9">
      <c r="I153" s="299"/>
    </row>
    <row r="154" ht="15.75" customHeight="1" spans="9:9">
      <c r="I154" s="299"/>
    </row>
    <row r="155" ht="15.75" customHeight="1" spans="9:9">
      <c r="I155" s="299"/>
    </row>
    <row r="156" ht="15.75" customHeight="1" spans="9:9">
      <c r="I156" s="299"/>
    </row>
    <row r="157" ht="15.75" customHeight="1" spans="9:9">
      <c r="I157" s="299"/>
    </row>
    <row r="158" ht="15.75" customHeight="1" spans="9:9">
      <c r="I158" s="299"/>
    </row>
    <row r="159" ht="15.75" customHeight="1" spans="9:9">
      <c r="I159" s="299"/>
    </row>
    <row r="160" ht="15.75" customHeight="1" spans="9:9">
      <c r="I160" s="299"/>
    </row>
    <row r="161" ht="15.75" customHeight="1" spans="9:9">
      <c r="I161" s="299"/>
    </row>
    <row r="162" ht="15.75" customHeight="1" spans="9:9">
      <c r="I162" s="299"/>
    </row>
    <row r="163" ht="15.75" customHeight="1" spans="9:9">
      <c r="I163" s="299"/>
    </row>
    <row r="164" ht="15.75" customHeight="1" spans="9:9">
      <c r="I164" s="299"/>
    </row>
    <row r="165" ht="15.75" customHeight="1" spans="9:9">
      <c r="I165" s="299"/>
    </row>
    <row r="166" ht="15.75" customHeight="1" spans="9:9">
      <c r="I166" s="299"/>
    </row>
    <row r="167" ht="15.75" customHeight="1" spans="9:9">
      <c r="I167" s="299"/>
    </row>
    <row r="168" ht="15.75" customHeight="1" spans="9:9">
      <c r="I168" s="299"/>
    </row>
    <row r="169" ht="15.75" customHeight="1" spans="9:9">
      <c r="I169" s="299"/>
    </row>
    <row r="170" ht="15.75" customHeight="1" spans="9:9">
      <c r="I170" s="299"/>
    </row>
    <row r="171" ht="15.75" customHeight="1" spans="9:9">
      <c r="I171" s="299"/>
    </row>
    <row r="172" ht="15.75" customHeight="1" spans="9:9">
      <c r="I172" s="299"/>
    </row>
    <row r="173" ht="15.75" customHeight="1" spans="9:9">
      <c r="I173" s="299"/>
    </row>
    <row r="174" ht="15.75" customHeight="1" spans="9:9">
      <c r="I174" s="299"/>
    </row>
    <row r="175" ht="15.75" customHeight="1" spans="9:9">
      <c r="I175" s="299"/>
    </row>
    <row r="176" ht="15.75" customHeight="1" spans="9:9">
      <c r="I176" s="299"/>
    </row>
    <row r="177" ht="15.75" customHeight="1" spans="9:9">
      <c r="I177" s="299"/>
    </row>
    <row r="178" ht="15.75" customHeight="1" spans="9:9">
      <c r="I178" s="299"/>
    </row>
    <row r="179" ht="15.75" customHeight="1" spans="9:9">
      <c r="I179" s="299"/>
    </row>
    <row r="180" ht="15.75" customHeight="1" spans="9:9">
      <c r="I180" s="299"/>
    </row>
    <row r="181" ht="15.75" customHeight="1" spans="9:9">
      <c r="I181" s="299"/>
    </row>
    <row r="182" ht="15.75" customHeight="1" spans="9:9">
      <c r="I182" s="299"/>
    </row>
    <row r="183" ht="15.75" customHeight="1" spans="9:9">
      <c r="I183" s="299"/>
    </row>
    <row r="184" ht="15.75" customHeight="1" spans="9:9">
      <c r="I184" s="299"/>
    </row>
    <row r="185" ht="15.75" customHeight="1" spans="9:9">
      <c r="I185" s="299"/>
    </row>
    <row r="186" ht="15.75" customHeight="1" spans="9:9">
      <c r="I186" s="299"/>
    </row>
    <row r="187" ht="15.75" customHeight="1" spans="9:9">
      <c r="I187" s="299"/>
    </row>
    <row r="188" ht="15.75" customHeight="1" spans="9:9">
      <c r="I188" s="299"/>
    </row>
    <row r="189" ht="15.75" customHeight="1" spans="9:9">
      <c r="I189" s="299"/>
    </row>
    <row r="190" ht="15.75" customHeight="1" spans="9:9">
      <c r="I190" s="299"/>
    </row>
    <row r="191" ht="15.75" customHeight="1" spans="9:9">
      <c r="I191" s="299"/>
    </row>
    <row r="192" ht="15.75" customHeight="1" spans="9:9">
      <c r="I192" s="299"/>
    </row>
    <row r="193" ht="15.75" customHeight="1" spans="9:9">
      <c r="I193" s="299"/>
    </row>
    <row r="194" ht="15.75" customHeight="1" spans="9:9">
      <c r="I194" s="299"/>
    </row>
    <row r="195" ht="15.75" customHeight="1" spans="9:9">
      <c r="I195" s="299"/>
    </row>
    <row r="196" ht="15.75" customHeight="1" spans="9:9">
      <c r="I196" s="299"/>
    </row>
    <row r="197" ht="15.75" customHeight="1" spans="9:9">
      <c r="I197" s="299"/>
    </row>
    <row r="198" ht="15.75" customHeight="1" spans="9:9">
      <c r="I198" s="299"/>
    </row>
    <row r="199" ht="15.75" customHeight="1" spans="9:9">
      <c r="I199" s="299"/>
    </row>
    <row r="200" ht="15.75" customHeight="1" spans="9:9">
      <c r="I200" s="299"/>
    </row>
    <row r="201" ht="15.75" customHeight="1" spans="9:9">
      <c r="I201" s="299"/>
    </row>
    <row r="202" ht="15.75" customHeight="1" spans="9:9">
      <c r="I202" s="299"/>
    </row>
    <row r="203" ht="15.75" customHeight="1" spans="9:9">
      <c r="I203" s="299"/>
    </row>
    <row r="204" ht="15.75" customHeight="1" spans="9:9">
      <c r="I204" s="299"/>
    </row>
    <row r="205" ht="15.75" customHeight="1" spans="9:9">
      <c r="I205" s="299"/>
    </row>
    <row r="206" ht="15.75" customHeight="1" spans="9:9">
      <c r="I206" s="299"/>
    </row>
    <row r="207" ht="15.75" customHeight="1" spans="9:9">
      <c r="I207" s="299"/>
    </row>
    <row r="208" ht="15.75" customHeight="1" spans="9:9">
      <c r="I208" s="299"/>
    </row>
    <row r="209" ht="15.75" customHeight="1" spans="9:9">
      <c r="I209" s="299"/>
    </row>
    <row r="210" ht="15.75" customHeight="1" spans="9:9">
      <c r="I210" s="299"/>
    </row>
    <row r="211" ht="15.75" customHeight="1" spans="9:9">
      <c r="I211" s="299"/>
    </row>
    <row r="212" ht="15.75" customHeight="1" spans="9:9">
      <c r="I212" s="299"/>
    </row>
    <row r="213" ht="15.75" customHeight="1" spans="9:9">
      <c r="I213" s="299"/>
    </row>
    <row r="214" ht="15.75" customHeight="1" spans="9:9">
      <c r="I214" s="299"/>
    </row>
    <row r="215" ht="15.75" customHeight="1" spans="9:9">
      <c r="I215" s="299"/>
    </row>
    <row r="216" ht="15.75" customHeight="1" spans="9:9">
      <c r="I216" s="299"/>
    </row>
    <row r="217" ht="15.75" customHeight="1" spans="9:9">
      <c r="I217" s="299"/>
    </row>
    <row r="218" ht="15.75" customHeight="1" spans="9:9">
      <c r="I218" s="299"/>
    </row>
    <row r="219" ht="15.75" customHeight="1" spans="9:9">
      <c r="I219" s="299"/>
    </row>
    <row r="220" ht="15.75" customHeight="1" spans="9:9">
      <c r="I220" s="299"/>
    </row>
    <row r="221" ht="15.75" customHeight="1" spans="9:9">
      <c r="I221" s="299"/>
    </row>
    <row r="222" ht="15.75" customHeight="1" spans="9:9">
      <c r="I222" s="299"/>
    </row>
    <row r="223" ht="15.75" customHeight="1" spans="9:9">
      <c r="I223" s="299"/>
    </row>
    <row r="224" ht="15.75" customHeight="1" spans="9:9">
      <c r="I224" s="299"/>
    </row>
    <row r="225" ht="15.75" customHeight="1" spans="9:9">
      <c r="I225" s="299"/>
    </row>
    <row r="226" ht="15.75" customHeight="1" spans="9:9">
      <c r="I226" s="299"/>
    </row>
    <row r="227" ht="15.75" customHeight="1" spans="9:9">
      <c r="I227" s="299"/>
    </row>
    <row r="228" ht="15.75" customHeight="1" spans="9:9">
      <c r="I228" s="299"/>
    </row>
    <row r="229" ht="15.75" customHeight="1" spans="9:9">
      <c r="I229" s="299"/>
    </row>
    <row r="230" ht="15.75" customHeight="1" spans="9:9">
      <c r="I230" s="299"/>
    </row>
    <row r="231" ht="15.75" customHeight="1" spans="9:9">
      <c r="I231" s="299"/>
    </row>
    <row r="232" ht="15.75" customHeight="1" spans="9:9">
      <c r="I232" s="299"/>
    </row>
    <row r="233" ht="15.75" customHeight="1" spans="9:9">
      <c r="I233" s="299"/>
    </row>
    <row r="234" ht="15.75" customHeight="1" spans="9:9">
      <c r="I234" s="299"/>
    </row>
    <row r="235" ht="15.75" customHeight="1" spans="9:9">
      <c r="I235" s="299"/>
    </row>
    <row r="236" ht="15.75" customHeight="1" spans="9:9">
      <c r="I236" s="299"/>
    </row>
    <row r="237" ht="15.75" customHeight="1" spans="9:9">
      <c r="I237" s="299"/>
    </row>
    <row r="238" ht="15.75" customHeight="1" spans="9:9">
      <c r="I238" s="299"/>
    </row>
    <row r="239" ht="15.75" customHeight="1" spans="9:9">
      <c r="I239" s="299"/>
    </row>
    <row r="240" ht="15.75" customHeight="1" spans="9:9">
      <c r="I240" s="299"/>
    </row>
    <row r="241" ht="15.75" customHeight="1" spans="9:9">
      <c r="I241" s="299"/>
    </row>
    <row r="242" ht="15.75" customHeight="1" spans="9:9">
      <c r="I242" s="299"/>
    </row>
    <row r="243" ht="15.75" customHeight="1" spans="9:9">
      <c r="I243" s="299"/>
    </row>
    <row r="244" ht="15.75" customHeight="1" spans="9:9">
      <c r="I244" s="299"/>
    </row>
    <row r="245" ht="15.75" customHeight="1" spans="9:9">
      <c r="I245" s="299"/>
    </row>
    <row r="246" ht="15.75" customHeight="1" spans="9:9">
      <c r="I246" s="299"/>
    </row>
    <row r="247" ht="15.75" customHeight="1" spans="9:9">
      <c r="I247" s="299"/>
    </row>
    <row r="248" ht="15.75" customHeight="1" spans="9:9">
      <c r="I248" s="299"/>
    </row>
    <row r="249" ht="15.75" customHeight="1" spans="9:9">
      <c r="I249" s="299"/>
    </row>
    <row r="250" ht="15.75" customHeight="1" spans="9:9">
      <c r="I250" s="299"/>
    </row>
    <row r="251" ht="15.75" customHeight="1" spans="9:9">
      <c r="I251" s="299"/>
    </row>
    <row r="252" ht="15.75" customHeight="1" spans="9:9">
      <c r="I252" s="299"/>
    </row>
    <row r="253" ht="15.75" customHeight="1" spans="9:9">
      <c r="I253" s="299"/>
    </row>
    <row r="254" ht="15.75" customHeight="1" spans="9:9">
      <c r="I254" s="299"/>
    </row>
    <row r="255" ht="15.75" customHeight="1" spans="9:9">
      <c r="I255" s="299"/>
    </row>
    <row r="256" ht="15.75" customHeight="1" spans="9:9">
      <c r="I256" s="299"/>
    </row>
    <row r="257" ht="15.75" customHeight="1" spans="9:9">
      <c r="I257" s="299"/>
    </row>
    <row r="258" ht="15.75" customHeight="1" spans="9:9">
      <c r="I258" s="299"/>
    </row>
    <row r="259" ht="15.75" customHeight="1" spans="9:9">
      <c r="I259" s="299"/>
    </row>
    <row r="260" ht="15.75" customHeight="1" spans="9:9">
      <c r="I260" s="299"/>
    </row>
    <row r="261" ht="15.75" customHeight="1" spans="9:9">
      <c r="I261" s="299"/>
    </row>
    <row r="262" ht="15.75" customHeight="1" spans="9:9">
      <c r="I262" s="299"/>
    </row>
    <row r="263" ht="15.75" customHeight="1" spans="9:9">
      <c r="I263" s="299"/>
    </row>
    <row r="264" ht="15.75" customHeight="1" spans="9:9">
      <c r="I264" s="299"/>
    </row>
    <row r="265" ht="15.75" customHeight="1" spans="9:9">
      <c r="I265" s="299"/>
    </row>
    <row r="266" ht="15.75" customHeight="1" spans="9:9">
      <c r="I266" s="299"/>
    </row>
    <row r="267" ht="15.75" customHeight="1" spans="9:9">
      <c r="I267" s="299"/>
    </row>
    <row r="268" ht="15.75" customHeight="1" spans="9:9">
      <c r="I268" s="299"/>
    </row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0">
    <mergeCell ref="A1:I1"/>
    <mergeCell ref="A2:I2"/>
    <mergeCell ref="A3:G3"/>
    <mergeCell ref="H3:I3"/>
    <mergeCell ref="A4:I4"/>
    <mergeCell ref="A5:I5"/>
    <mergeCell ref="B6:H6"/>
    <mergeCell ref="B7:H7"/>
    <mergeCell ref="B8:H8"/>
    <mergeCell ref="B9:H9"/>
    <mergeCell ref="A10:I10"/>
    <mergeCell ref="A11:I11"/>
    <mergeCell ref="A12:B12"/>
    <mergeCell ref="C12:D12"/>
    <mergeCell ref="E12:I12"/>
    <mergeCell ref="A13:B13"/>
    <mergeCell ref="C13:D13"/>
    <mergeCell ref="E13:I13"/>
    <mergeCell ref="A14:I14"/>
    <mergeCell ref="B15:H15"/>
    <mergeCell ref="B16:H16"/>
    <mergeCell ref="B17:H17"/>
    <mergeCell ref="B18:H18"/>
    <mergeCell ref="B19:H19"/>
    <mergeCell ref="A20:I20"/>
    <mergeCell ref="A21:I21"/>
    <mergeCell ref="B22:G22"/>
    <mergeCell ref="B23:G23"/>
    <mergeCell ref="B24:G24"/>
    <mergeCell ref="B25:G25"/>
    <mergeCell ref="B26:G26"/>
    <mergeCell ref="B27:G27"/>
    <mergeCell ref="B28:G28"/>
    <mergeCell ref="A29:H29"/>
    <mergeCell ref="A30:I30"/>
    <mergeCell ref="A31:I31"/>
    <mergeCell ref="A32:G32"/>
    <mergeCell ref="B33:G33"/>
    <mergeCell ref="B34:G34"/>
    <mergeCell ref="A35:G35"/>
    <mergeCell ref="G36:H36"/>
    <mergeCell ref="G37:H37"/>
    <mergeCell ref="G38:H38"/>
    <mergeCell ref="A39:G39"/>
    <mergeCell ref="B40:G40"/>
    <mergeCell ref="B41:G41"/>
    <mergeCell ref="B42:G42"/>
    <mergeCell ref="B43:G43"/>
    <mergeCell ref="B44:G44"/>
    <mergeCell ref="B45:G45"/>
    <mergeCell ref="B46:G46"/>
    <mergeCell ref="B47:G47"/>
    <mergeCell ref="A48:G48"/>
    <mergeCell ref="A49:I49"/>
    <mergeCell ref="K49:L49"/>
    <mergeCell ref="A50:G50"/>
    <mergeCell ref="K50:L50"/>
    <mergeCell ref="B51:G51"/>
    <mergeCell ref="B52:G52"/>
    <mergeCell ref="B53:G53"/>
    <mergeCell ref="B54:G54"/>
    <mergeCell ref="A55:H55"/>
    <mergeCell ref="A56:I56"/>
    <mergeCell ref="A57:I57"/>
    <mergeCell ref="A58:H58"/>
    <mergeCell ref="B59:H59"/>
    <mergeCell ref="B60:H60"/>
    <mergeCell ref="B61:H61"/>
    <mergeCell ref="A62:H62"/>
    <mergeCell ref="G63:H63"/>
    <mergeCell ref="G64:H64"/>
    <mergeCell ref="G65:H65"/>
    <mergeCell ref="A66:I66"/>
    <mergeCell ref="B67:G67"/>
    <mergeCell ref="B68:G68"/>
    <mergeCell ref="B69:G69"/>
    <mergeCell ref="B70:G70"/>
    <mergeCell ref="B71:G71"/>
    <mergeCell ref="B72:G72"/>
    <mergeCell ref="A73:G73"/>
    <mergeCell ref="G74:H74"/>
    <mergeCell ref="G75:H75"/>
    <mergeCell ref="G76:H76"/>
    <mergeCell ref="G77:H77"/>
    <mergeCell ref="A78:I78"/>
    <mergeCell ref="A79:G79"/>
    <mergeCell ref="B80:G80"/>
    <mergeCell ref="B81:G81"/>
    <mergeCell ref="B82:G82"/>
    <mergeCell ref="B83:G83"/>
    <mergeCell ref="B84:G84"/>
    <mergeCell ref="B85:G85"/>
    <mergeCell ref="A86:G86"/>
    <mergeCell ref="A87:I87"/>
    <mergeCell ref="A88:G88"/>
    <mergeCell ref="B89:G89"/>
    <mergeCell ref="A90:G90"/>
    <mergeCell ref="A91:I91"/>
    <mergeCell ref="A92:I92"/>
    <mergeCell ref="A93:H93"/>
    <mergeCell ref="B94:H94"/>
    <mergeCell ref="B95:H95"/>
    <mergeCell ref="A96:H96"/>
    <mergeCell ref="A97:I97"/>
    <mergeCell ref="A98:I98"/>
    <mergeCell ref="B99:G99"/>
    <mergeCell ref="B100:G100"/>
    <mergeCell ref="B101:G101"/>
    <mergeCell ref="B102:G102"/>
    <mergeCell ref="B103:G103"/>
    <mergeCell ref="A104:G104"/>
    <mergeCell ref="G105:H105"/>
    <mergeCell ref="G106:H106"/>
    <mergeCell ref="G107:H107"/>
    <mergeCell ref="G108:H108"/>
    <mergeCell ref="G109:H109"/>
    <mergeCell ref="G110:H110"/>
    <mergeCell ref="A111:I111"/>
    <mergeCell ref="B112:G112"/>
    <mergeCell ref="B113:G113"/>
    <mergeCell ref="B114:G114"/>
    <mergeCell ref="B115:G115"/>
    <mergeCell ref="B116:G116"/>
    <mergeCell ref="B117:G117"/>
    <mergeCell ref="B118:G118"/>
    <mergeCell ref="A119:G119"/>
    <mergeCell ref="A120:I120"/>
    <mergeCell ref="B121:G121"/>
    <mergeCell ref="B122:G122"/>
    <mergeCell ref="B124:G124"/>
    <mergeCell ref="B126:G126"/>
    <mergeCell ref="B128:G128"/>
    <mergeCell ref="A129:I129"/>
    <mergeCell ref="A130:H130"/>
    <mergeCell ref="B131:H131"/>
    <mergeCell ref="B132:H132"/>
    <mergeCell ref="B133:H133"/>
    <mergeCell ref="B134:H134"/>
    <mergeCell ref="B135:H135"/>
    <mergeCell ref="A136:H136"/>
    <mergeCell ref="B137:H137"/>
    <mergeCell ref="A138:H138"/>
    <mergeCell ref="J1:J25"/>
    <mergeCell ref="K52:K54"/>
    <mergeCell ref="L52:L54"/>
    <mergeCell ref="A36:F38"/>
    <mergeCell ref="A63:F65"/>
    <mergeCell ref="A74:F77"/>
    <mergeCell ref="A105:F110"/>
    <mergeCell ref="K62:L71"/>
  </mergeCells>
  <pageMargins left="0.31496062992126" right="0.31496062992126" top="0.31496062992126" bottom="0.31496062992126" header="0" footer="0"/>
  <pageSetup paperSize="9" scale="73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9"/>
  <sheetViews>
    <sheetView view="pageBreakPreview" zoomScale="90" zoomScaleNormal="100" topLeftCell="G47" workbookViewId="0">
      <selection activeCell="A100" sqref="A100:I103"/>
    </sheetView>
  </sheetViews>
  <sheetFormatPr defaultColWidth="14.4285714285714" defaultRowHeight="15" customHeight="1"/>
  <cols>
    <col min="1" max="1" width="7.42857142857143" customWidth="1"/>
    <col min="2" max="2" width="8.85714285714286" customWidth="1"/>
    <col min="3" max="3" width="8.71428571428571" customWidth="1"/>
    <col min="4" max="4" width="10.2857142857143" customWidth="1"/>
    <col min="5" max="5" width="8.71428571428571" customWidth="1"/>
    <col min="6" max="6" width="17.1428571428571" customWidth="1"/>
    <col min="7" max="7" width="24.4285714285714" customWidth="1"/>
    <col min="8" max="8" width="16.1428571428571" customWidth="1"/>
    <col min="9" max="9" width="30.7142857142857" customWidth="1"/>
    <col min="10" max="10" width="42.3809523809524" customWidth="1"/>
    <col min="11" max="11" width="55.7142857142857" customWidth="1"/>
    <col min="12" max="12" width="53.5714285714286" customWidth="1"/>
  </cols>
  <sheetData>
    <row r="1" ht="15.75" spans="1:12">
      <c r="A1" s="115" t="s">
        <v>488</v>
      </c>
      <c r="B1" s="63"/>
      <c r="C1" s="63"/>
      <c r="D1" s="63"/>
      <c r="E1" s="63"/>
      <c r="F1" s="63"/>
      <c r="G1" s="63"/>
      <c r="H1" s="63"/>
      <c r="I1" s="71"/>
      <c r="J1" s="156" t="s">
        <v>311</v>
      </c>
      <c r="K1" s="157"/>
      <c r="L1" s="157"/>
    </row>
    <row r="2" ht="15.75" spans="1:12">
      <c r="A2" s="116"/>
      <c r="I2" s="158"/>
      <c r="J2" s="156"/>
      <c r="K2" s="157"/>
      <c r="L2" s="157"/>
    </row>
    <row r="3" ht="15.75" spans="1:12">
      <c r="A3" s="115" t="s">
        <v>312</v>
      </c>
      <c r="B3" s="63"/>
      <c r="C3" s="63"/>
      <c r="D3" s="63"/>
      <c r="E3" s="63"/>
      <c r="F3" s="63"/>
      <c r="G3" s="71"/>
      <c r="H3" s="117" t="s">
        <v>313</v>
      </c>
      <c r="I3" s="71"/>
      <c r="J3" s="156"/>
      <c r="K3" s="157"/>
      <c r="L3" s="157"/>
    </row>
    <row r="4" ht="15.75" spans="1:12">
      <c r="A4" s="115"/>
      <c r="B4" s="118"/>
      <c r="C4" s="118"/>
      <c r="D4" s="118"/>
      <c r="E4" s="118"/>
      <c r="F4" s="118"/>
      <c r="G4" s="118"/>
      <c r="H4" s="118"/>
      <c r="I4" s="159"/>
      <c r="J4" s="156"/>
      <c r="K4" s="157"/>
      <c r="L4" s="157"/>
    </row>
    <row r="5" ht="15.75" spans="1:12">
      <c r="A5" s="119" t="s">
        <v>314</v>
      </c>
      <c r="B5" s="63"/>
      <c r="C5" s="63"/>
      <c r="D5" s="63"/>
      <c r="E5" s="63"/>
      <c r="F5" s="63"/>
      <c r="G5" s="63"/>
      <c r="H5" s="63"/>
      <c r="I5" s="71"/>
      <c r="J5" s="156"/>
      <c r="K5" s="157"/>
      <c r="L5" s="157"/>
    </row>
    <row r="6" ht="15.75" spans="1:12">
      <c r="A6" s="120" t="s">
        <v>315</v>
      </c>
      <c r="B6" s="121" t="s">
        <v>316</v>
      </c>
      <c r="C6" s="63"/>
      <c r="D6" s="63"/>
      <c r="E6" s="63"/>
      <c r="F6" s="63"/>
      <c r="G6" s="63"/>
      <c r="H6" s="71"/>
      <c r="I6" s="160"/>
      <c r="J6" s="156"/>
      <c r="K6" s="161"/>
      <c r="L6" s="161"/>
    </row>
    <row r="7" ht="16.5" spans="1:12">
      <c r="A7" s="120" t="s">
        <v>317</v>
      </c>
      <c r="B7" s="121" t="s">
        <v>318</v>
      </c>
      <c r="C7" s="63"/>
      <c r="D7" s="63"/>
      <c r="E7" s="63"/>
      <c r="F7" s="63"/>
      <c r="G7" s="63"/>
      <c r="H7" s="71"/>
      <c r="I7" s="120" t="s">
        <v>319</v>
      </c>
      <c r="J7" s="156"/>
      <c r="K7" s="157"/>
      <c r="L7" s="157"/>
    </row>
    <row r="8" ht="15.75" spans="1:12">
      <c r="A8" s="120" t="s">
        <v>320</v>
      </c>
      <c r="B8" s="121" t="s">
        <v>321</v>
      </c>
      <c r="C8" s="63"/>
      <c r="D8" s="63"/>
      <c r="E8" s="63"/>
      <c r="F8" s="63"/>
      <c r="G8" s="63"/>
      <c r="H8" s="71"/>
      <c r="I8" s="120" t="s">
        <v>322</v>
      </c>
      <c r="J8" s="156"/>
      <c r="K8" s="162" t="s">
        <v>323</v>
      </c>
      <c r="L8" s="163"/>
    </row>
    <row r="9" ht="16.5" spans="1:12">
      <c r="A9" s="120" t="s">
        <v>324</v>
      </c>
      <c r="B9" s="121" t="s">
        <v>325</v>
      </c>
      <c r="C9" s="63"/>
      <c r="D9" s="63"/>
      <c r="E9" s="63"/>
      <c r="F9" s="63"/>
      <c r="G9" s="63"/>
      <c r="H9" s="71"/>
      <c r="I9" s="120">
        <v>12</v>
      </c>
      <c r="J9" s="156"/>
      <c r="K9" s="164" t="s">
        <v>326</v>
      </c>
      <c r="L9" s="165"/>
    </row>
    <row r="10" ht="16.5" spans="1:12">
      <c r="A10" s="122"/>
      <c r="I10" s="158"/>
      <c r="J10" s="156"/>
      <c r="K10" s="166" t="s">
        <v>327</v>
      </c>
      <c r="L10" s="167">
        <f>J138</f>
        <v>2820.78589</v>
      </c>
    </row>
    <row r="11" ht="16.5" spans="1:12">
      <c r="A11" s="119" t="s">
        <v>328</v>
      </c>
      <c r="B11" s="63"/>
      <c r="C11" s="63"/>
      <c r="D11" s="63"/>
      <c r="E11" s="63"/>
      <c r="F11" s="63"/>
      <c r="G11" s="63"/>
      <c r="H11" s="63"/>
      <c r="I11" s="71"/>
      <c r="J11" s="156"/>
      <c r="K11" s="168"/>
      <c r="L11" s="168"/>
    </row>
    <row r="12" ht="15.75" spans="1:12">
      <c r="A12" s="117" t="s">
        <v>329</v>
      </c>
      <c r="B12" s="71"/>
      <c r="C12" s="117" t="s">
        <v>330</v>
      </c>
      <c r="D12" s="71"/>
      <c r="E12" s="117" t="s">
        <v>331</v>
      </c>
      <c r="F12" s="63"/>
      <c r="G12" s="63"/>
      <c r="H12" s="63"/>
      <c r="I12" s="71"/>
      <c r="J12" s="156"/>
      <c r="K12" s="162" t="s">
        <v>332</v>
      </c>
      <c r="L12" s="163"/>
    </row>
    <row r="13" ht="16.5" spans="1:12">
      <c r="A13" s="123" t="s">
        <v>333</v>
      </c>
      <c r="B13" s="124"/>
      <c r="C13" s="125" t="s">
        <v>489</v>
      </c>
      <c r="D13" s="126"/>
      <c r="E13" s="117">
        <v>3</v>
      </c>
      <c r="F13" s="63"/>
      <c r="G13" s="63"/>
      <c r="H13" s="63"/>
      <c r="I13" s="71"/>
      <c r="J13" s="156"/>
      <c r="K13" s="169" t="s">
        <v>335</v>
      </c>
      <c r="L13" s="170"/>
    </row>
    <row r="14" ht="15.75" spans="1:12">
      <c r="A14" s="119" t="s">
        <v>336</v>
      </c>
      <c r="B14" s="63"/>
      <c r="C14" s="63"/>
      <c r="D14" s="63"/>
      <c r="E14" s="63"/>
      <c r="F14" s="63"/>
      <c r="G14" s="63"/>
      <c r="H14" s="63"/>
      <c r="I14" s="71"/>
      <c r="J14" s="156"/>
      <c r="K14" s="171" t="s">
        <v>337</v>
      </c>
      <c r="L14" s="172">
        <v>0.11</v>
      </c>
    </row>
    <row r="15" ht="15.75" spans="1:12">
      <c r="A15" s="120">
        <v>1</v>
      </c>
      <c r="B15" s="121" t="s">
        <v>338</v>
      </c>
      <c r="C15" s="63"/>
      <c r="D15" s="63"/>
      <c r="E15" s="63"/>
      <c r="F15" s="63"/>
      <c r="G15" s="63"/>
      <c r="H15" s="71"/>
      <c r="I15" s="173" t="s">
        <v>490</v>
      </c>
      <c r="J15" s="156"/>
      <c r="K15" s="174" t="s">
        <v>340</v>
      </c>
      <c r="L15" s="175">
        <f>I52</f>
        <v>412.05</v>
      </c>
    </row>
    <row r="16" ht="15.75" spans="1:12">
      <c r="A16" s="120">
        <v>2</v>
      </c>
      <c r="B16" s="121" t="s">
        <v>341</v>
      </c>
      <c r="C16" s="63"/>
      <c r="D16" s="63"/>
      <c r="E16" s="63"/>
      <c r="F16" s="63"/>
      <c r="G16" s="63"/>
      <c r="H16" s="71"/>
      <c r="I16" s="120" t="s">
        <v>491</v>
      </c>
      <c r="J16" s="156"/>
      <c r="K16" s="174" t="s">
        <v>343</v>
      </c>
      <c r="L16" s="175">
        <f>I104</f>
        <v>0.76</v>
      </c>
    </row>
    <row r="17" ht="15.75" spans="1:12">
      <c r="A17" s="120">
        <v>3</v>
      </c>
      <c r="B17" s="121" t="s">
        <v>344</v>
      </c>
      <c r="C17" s="63"/>
      <c r="D17" s="63"/>
      <c r="E17" s="63"/>
      <c r="F17" s="63"/>
      <c r="G17" s="63"/>
      <c r="H17" s="71"/>
      <c r="I17" s="176">
        <v>1633.21</v>
      </c>
      <c r="J17" s="156"/>
      <c r="K17" s="174" t="s">
        <v>345</v>
      </c>
      <c r="L17" s="175">
        <f>I51</f>
        <v>58.01</v>
      </c>
    </row>
    <row r="18" ht="38.25" spans="1:12">
      <c r="A18" s="127">
        <v>4</v>
      </c>
      <c r="B18" s="128" t="s">
        <v>346</v>
      </c>
      <c r="C18" s="63"/>
      <c r="D18" s="63"/>
      <c r="E18" s="63"/>
      <c r="F18" s="63"/>
      <c r="G18" s="63"/>
      <c r="H18" s="71"/>
      <c r="I18" s="177" t="s">
        <v>347</v>
      </c>
      <c r="J18" s="156"/>
      <c r="K18" s="178" t="s">
        <v>348</v>
      </c>
      <c r="L18" s="179">
        <f>SUM(L15:L17)</f>
        <v>470.82</v>
      </c>
    </row>
    <row r="19" ht="15.75" spans="1:12">
      <c r="A19" s="120">
        <v>5</v>
      </c>
      <c r="B19" s="121" t="s">
        <v>349</v>
      </c>
      <c r="C19" s="63"/>
      <c r="D19" s="63"/>
      <c r="E19" s="63"/>
      <c r="F19" s="63"/>
      <c r="G19" s="63"/>
      <c r="H19" s="71"/>
      <c r="I19" s="160" t="s">
        <v>350</v>
      </c>
      <c r="J19" s="156"/>
      <c r="K19" s="174" t="s">
        <v>351</v>
      </c>
      <c r="L19" s="180">
        <f>I138</f>
        <v>3916.66</v>
      </c>
    </row>
    <row r="20" ht="15.75" spans="1:12">
      <c r="A20" s="129"/>
      <c r="B20" s="63"/>
      <c r="C20" s="63"/>
      <c r="D20" s="63"/>
      <c r="E20" s="63"/>
      <c r="F20" s="63"/>
      <c r="G20" s="63"/>
      <c r="H20" s="63"/>
      <c r="I20" s="71"/>
      <c r="J20" s="156"/>
      <c r="K20" s="181" t="s">
        <v>352</v>
      </c>
      <c r="L20" s="182">
        <f>L19-L18</f>
        <v>3445.84</v>
      </c>
    </row>
    <row r="21" ht="15.75" customHeight="1" spans="1:12">
      <c r="A21" s="119" t="s">
        <v>353</v>
      </c>
      <c r="B21" s="63"/>
      <c r="C21" s="63"/>
      <c r="D21" s="63"/>
      <c r="E21" s="63"/>
      <c r="F21" s="63"/>
      <c r="G21" s="63"/>
      <c r="H21" s="63"/>
      <c r="I21" s="71"/>
      <c r="J21" s="156"/>
      <c r="K21" s="183" t="s">
        <v>354</v>
      </c>
      <c r="L21" s="184">
        <f>L20*11%</f>
        <v>379.0424</v>
      </c>
    </row>
    <row r="22" ht="15.75" customHeight="1" spans="1:12">
      <c r="A22" s="130">
        <v>1</v>
      </c>
      <c r="B22" s="119" t="s">
        <v>355</v>
      </c>
      <c r="C22" s="63"/>
      <c r="D22" s="63"/>
      <c r="E22" s="63"/>
      <c r="F22" s="63"/>
      <c r="G22" s="71"/>
      <c r="H22" s="131" t="s">
        <v>356</v>
      </c>
      <c r="I22" s="131" t="s">
        <v>357</v>
      </c>
      <c r="J22" s="156"/>
      <c r="K22" s="171" t="s">
        <v>358</v>
      </c>
      <c r="L22" s="185"/>
    </row>
    <row r="23" ht="15.75" customHeight="1" spans="1:12">
      <c r="A23" s="130" t="s">
        <v>315</v>
      </c>
      <c r="B23" s="121" t="s">
        <v>359</v>
      </c>
      <c r="C23" s="63"/>
      <c r="D23" s="63"/>
      <c r="E23" s="63"/>
      <c r="F23" s="63"/>
      <c r="G23" s="71"/>
      <c r="H23" s="132"/>
      <c r="I23" s="186">
        <f>I17</f>
        <v>1633.21</v>
      </c>
      <c r="J23" s="156"/>
      <c r="K23" s="187" t="s">
        <v>360</v>
      </c>
      <c r="L23" s="188">
        <v>0.012</v>
      </c>
    </row>
    <row r="24" ht="15.75" customHeight="1" spans="1:12">
      <c r="A24" s="130" t="s">
        <v>317</v>
      </c>
      <c r="B24" s="121" t="s">
        <v>361</v>
      </c>
      <c r="C24" s="63"/>
      <c r="D24" s="63"/>
      <c r="E24" s="63"/>
      <c r="F24" s="63"/>
      <c r="G24" s="71"/>
      <c r="H24" s="133"/>
      <c r="I24" s="189">
        <v>0</v>
      </c>
      <c r="J24" s="156"/>
      <c r="K24" s="190" t="s">
        <v>362</v>
      </c>
      <c r="L24" s="191">
        <v>0.048</v>
      </c>
    </row>
    <row r="25" ht="15.75" customHeight="1" spans="1:12">
      <c r="A25" s="130" t="s">
        <v>320</v>
      </c>
      <c r="B25" s="121" t="s">
        <v>363</v>
      </c>
      <c r="C25" s="63"/>
      <c r="D25" s="63"/>
      <c r="E25" s="63"/>
      <c r="F25" s="63"/>
      <c r="G25" s="71"/>
      <c r="H25" s="133"/>
      <c r="I25" s="186">
        <v>0</v>
      </c>
      <c r="J25" s="156"/>
      <c r="K25" s="174" t="s">
        <v>364</v>
      </c>
      <c r="L25" s="180">
        <f>L19</f>
        <v>3916.66</v>
      </c>
    </row>
    <row r="26" ht="15.75" customHeight="1" spans="1:12">
      <c r="A26" s="130" t="s">
        <v>324</v>
      </c>
      <c r="B26" s="121" t="s">
        <v>365</v>
      </c>
      <c r="C26" s="63"/>
      <c r="D26" s="63"/>
      <c r="E26" s="63"/>
      <c r="F26" s="63"/>
      <c r="G26" s="71"/>
      <c r="H26" s="133"/>
      <c r="I26" s="186">
        <v>0</v>
      </c>
      <c r="J26" s="192"/>
      <c r="K26" s="183" t="s">
        <v>366</v>
      </c>
      <c r="L26" s="184">
        <f>L25*L23</f>
        <v>46.99992</v>
      </c>
    </row>
    <row r="27" ht="15.75" customHeight="1" spans="1:12">
      <c r="A27" s="130" t="s">
        <v>367</v>
      </c>
      <c r="B27" s="121" t="s">
        <v>368</v>
      </c>
      <c r="C27" s="63"/>
      <c r="D27" s="63"/>
      <c r="E27" s="63"/>
      <c r="F27" s="63"/>
      <c r="G27" s="71"/>
      <c r="H27" s="133"/>
      <c r="I27" s="186">
        <v>0</v>
      </c>
      <c r="J27" s="192"/>
      <c r="K27" s="171" t="s">
        <v>369</v>
      </c>
      <c r="L27" s="172">
        <v>0.01</v>
      </c>
    </row>
    <row r="28" ht="15.75" customHeight="1" spans="1:12">
      <c r="A28" s="130" t="s">
        <v>370</v>
      </c>
      <c r="B28" s="121" t="s">
        <v>371</v>
      </c>
      <c r="C28" s="63"/>
      <c r="D28" s="63"/>
      <c r="E28" s="63"/>
      <c r="F28" s="63"/>
      <c r="G28" s="71"/>
      <c r="H28" s="133"/>
      <c r="I28" s="186">
        <v>0</v>
      </c>
      <c r="J28" s="192"/>
      <c r="K28" s="181" t="s">
        <v>351</v>
      </c>
      <c r="L28" s="182">
        <f>L19</f>
        <v>3916.66</v>
      </c>
    </row>
    <row r="29" ht="15.75" customHeight="1" spans="1:12">
      <c r="A29" s="119" t="s">
        <v>372</v>
      </c>
      <c r="B29" s="63"/>
      <c r="C29" s="63"/>
      <c r="D29" s="63"/>
      <c r="E29" s="63"/>
      <c r="F29" s="63"/>
      <c r="G29" s="63"/>
      <c r="H29" s="71"/>
      <c r="I29" s="193">
        <f>SUM(I23:I28)</f>
        <v>1633.21</v>
      </c>
      <c r="J29" s="194">
        <f>SUM(I23:I28)-(I23*6%)</f>
        <v>1535.2174</v>
      </c>
      <c r="K29" s="183" t="s">
        <v>354</v>
      </c>
      <c r="L29" s="184">
        <f>L28*L27</f>
        <v>39.1666</v>
      </c>
    </row>
    <row r="30" ht="15.75" customHeight="1" spans="1:12">
      <c r="A30" s="116"/>
      <c r="I30" s="158"/>
      <c r="J30" s="195"/>
      <c r="K30" s="171" t="s">
        <v>373</v>
      </c>
      <c r="L30" s="172">
        <f>H117</f>
        <v>0.0632</v>
      </c>
    </row>
    <row r="31" ht="15.75" customHeight="1" spans="1:12">
      <c r="A31" s="119" t="s">
        <v>374</v>
      </c>
      <c r="B31" s="63"/>
      <c r="C31" s="63"/>
      <c r="D31" s="63"/>
      <c r="E31" s="63"/>
      <c r="F31" s="63"/>
      <c r="G31" s="63"/>
      <c r="H31" s="63"/>
      <c r="I31" s="71"/>
      <c r="J31" s="195"/>
      <c r="K31" s="181" t="s">
        <v>351</v>
      </c>
      <c r="L31" s="182">
        <f>L19</f>
        <v>3916.66</v>
      </c>
    </row>
    <row r="32" ht="15.75" customHeight="1" spans="1:12">
      <c r="A32" s="119" t="s">
        <v>375</v>
      </c>
      <c r="B32" s="63"/>
      <c r="C32" s="63"/>
      <c r="D32" s="63"/>
      <c r="E32" s="63"/>
      <c r="F32" s="63"/>
      <c r="G32" s="71"/>
      <c r="H32" s="131" t="s">
        <v>356</v>
      </c>
      <c r="I32" s="131" t="s">
        <v>357</v>
      </c>
      <c r="J32" s="196"/>
      <c r="K32" s="183" t="s">
        <v>354</v>
      </c>
      <c r="L32" s="184">
        <f>L31*L30</f>
        <v>247.532912</v>
      </c>
    </row>
    <row r="33" ht="15.75" customHeight="1" spans="1:12">
      <c r="A33" s="130" t="s">
        <v>315</v>
      </c>
      <c r="B33" s="121" t="s">
        <v>376</v>
      </c>
      <c r="C33" s="63"/>
      <c r="D33" s="63"/>
      <c r="E33" s="63"/>
      <c r="F33" s="63"/>
      <c r="G33" s="71"/>
      <c r="H33" s="133">
        <f>ROUND(1/12,4)</f>
        <v>0.0833</v>
      </c>
      <c r="I33" s="197">
        <f>ROUND(I29*H33,2)</f>
        <v>136.05</v>
      </c>
      <c r="J33" s="194">
        <f>I33+(I33*$H$48)</f>
        <v>184.07565</v>
      </c>
      <c r="K33" s="171" t="s">
        <v>377</v>
      </c>
      <c r="L33" s="172">
        <f>H116</f>
        <v>0.0144</v>
      </c>
    </row>
    <row r="34" ht="15.75" customHeight="1" spans="1:12">
      <c r="A34" s="130" t="s">
        <v>317</v>
      </c>
      <c r="B34" s="121" t="s">
        <v>378</v>
      </c>
      <c r="C34" s="63"/>
      <c r="D34" s="63"/>
      <c r="E34" s="63"/>
      <c r="F34" s="63"/>
      <c r="G34" s="71"/>
      <c r="H34" s="133">
        <v>0.121</v>
      </c>
      <c r="I34" s="197">
        <f>ROUND(I29*H34,2)</f>
        <v>197.62</v>
      </c>
      <c r="J34" s="194">
        <f>I34+(I34*$H$48)</f>
        <v>267.37986</v>
      </c>
      <c r="K34" s="181" t="s">
        <v>351</v>
      </c>
      <c r="L34" s="182">
        <f>L19</f>
        <v>3916.66</v>
      </c>
    </row>
    <row r="35" ht="15.75" customHeight="1" spans="1:12">
      <c r="A35" s="119" t="s">
        <v>379</v>
      </c>
      <c r="B35" s="63"/>
      <c r="C35" s="63"/>
      <c r="D35" s="63"/>
      <c r="E35" s="63"/>
      <c r="F35" s="63"/>
      <c r="G35" s="71"/>
      <c r="H35" s="134">
        <f t="shared" ref="H35:I35" si="0">SUM(H33:H34)</f>
        <v>0.2043</v>
      </c>
      <c r="I35" s="193">
        <f t="shared" si="0"/>
        <v>333.67</v>
      </c>
      <c r="J35" s="192"/>
      <c r="K35" s="183" t="s">
        <v>354</v>
      </c>
      <c r="L35" s="184">
        <f>L34*L33</f>
        <v>56.399904</v>
      </c>
    </row>
    <row r="36" ht="15.75" customHeight="1" spans="1:12">
      <c r="A36" s="135" t="s">
        <v>380</v>
      </c>
      <c r="B36" s="136"/>
      <c r="C36" s="136"/>
      <c r="D36" s="136"/>
      <c r="E36" s="136"/>
      <c r="F36" s="136"/>
      <c r="G36" s="137" t="s">
        <v>381</v>
      </c>
      <c r="H36" s="63"/>
      <c r="I36" s="198">
        <f>I29</f>
        <v>1633.21</v>
      </c>
      <c r="J36" s="199"/>
      <c r="K36" s="171" t="s">
        <v>382</v>
      </c>
      <c r="L36" s="172">
        <f>H118</f>
        <v>0.05</v>
      </c>
    </row>
    <row r="37" ht="15.75" customHeight="1" spans="1:12">
      <c r="A37" s="138"/>
      <c r="F37" s="139"/>
      <c r="G37" s="137" t="s">
        <v>383</v>
      </c>
      <c r="H37" s="63"/>
      <c r="I37" s="198">
        <f>I35</f>
        <v>333.67</v>
      </c>
      <c r="J37" s="200"/>
      <c r="K37" s="181" t="s">
        <v>351</v>
      </c>
      <c r="L37" s="182">
        <f>L19</f>
        <v>3916.66</v>
      </c>
    </row>
    <row r="38" ht="15.75" customHeight="1" spans="1:12">
      <c r="A38" s="140"/>
      <c r="B38" s="141"/>
      <c r="C38" s="141"/>
      <c r="D38" s="141"/>
      <c r="E38" s="141"/>
      <c r="F38" s="141"/>
      <c r="G38" s="142" t="s">
        <v>384</v>
      </c>
      <c r="H38" s="63"/>
      <c r="I38" s="201">
        <f>SUM(I36:I37)</f>
        <v>1966.88</v>
      </c>
      <c r="J38" s="199"/>
      <c r="K38" s="183" t="s">
        <v>354</v>
      </c>
      <c r="L38" s="184">
        <f>L37*L36</f>
        <v>195.833</v>
      </c>
    </row>
    <row r="39" ht="15.75" customHeight="1" spans="1:12">
      <c r="A39" s="119" t="s">
        <v>385</v>
      </c>
      <c r="B39" s="63"/>
      <c r="C39" s="63"/>
      <c r="D39" s="63"/>
      <c r="E39" s="63"/>
      <c r="F39" s="63"/>
      <c r="G39" s="71"/>
      <c r="H39" s="131" t="s">
        <v>356</v>
      </c>
      <c r="I39" s="131" t="s">
        <v>357</v>
      </c>
      <c r="J39" s="199"/>
      <c r="K39" s="202" t="s">
        <v>386</v>
      </c>
      <c r="L39" s="203">
        <f>L21+L26+L29+L32+L35+L38</f>
        <v>964.974736</v>
      </c>
    </row>
    <row r="40" ht="15.75" customHeight="1" spans="1:12">
      <c r="A40" s="130" t="s">
        <v>315</v>
      </c>
      <c r="B40" s="121" t="s">
        <v>387</v>
      </c>
      <c r="C40" s="63"/>
      <c r="D40" s="63"/>
      <c r="E40" s="63"/>
      <c r="F40" s="63"/>
      <c r="G40" s="71"/>
      <c r="H40" s="133">
        <v>0.2</v>
      </c>
      <c r="I40" s="197">
        <f t="shared" ref="I40:I47" si="1">ROUND($I$38*H40,2)</f>
        <v>393.38</v>
      </c>
      <c r="J40" s="204" t="s">
        <v>388</v>
      </c>
      <c r="K40" s="205"/>
      <c r="L40" s="205"/>
    </row>
    <row r="41" ht="15.75" customHeight="1" spans="1:12">
      <c r="A41" s="130" t="s">
        <v>317</v>
      </c>
      <c r="B41" s="121" t="s">
        <v>389</v>
      </c>
      <c r="C41" s="63"/>
      <c r="D41" s="63"/>
      <c r="E41" s="63"/>
      <c r="F41" s="63"/>
      <c r="G41" s="71"/>
      <c r="H41" s="133">
        <v>0.025</v>
      </c>
      <c r="I41" s="197">
        <f t="shared" si="1"/>
        <v>49.17</v>
      </c>
      <c r="J41" s="194">
        <f t="shared" ref="J41:J47" si="2">$I$29*H41</f>
        <v>40.83025</v>
      </c>
      <c r="K41" s="206" t="s">
        <v>390</v>
      </c>
      <c r="L41" s="207"/>
    </row>
    <row r="42" ht="15.75" customHeight="1" spans="1:12">
      <c r="A42" s="130" t="s">
        <v>320</v>
      </c>
      <c r="B42" s="121" t="s">
        <v>391</v>
      </c>
      <c r="C42" s="63"/>
      <c r="D42" s="63"/>
      <c r="E42" s="63"/>
      <c r="F42" s="63"/>
      <c r="G42" s="71"/>
      <c r="H42" s="133">
        <v>0.015</v>
      </c>
      <c r="I42" s="197">
        <f t="shared" si="1"/>
        <v>29.5</v>
      </c>
      <c r="J42" s="204" t="s">
        <v>388</v>
      </c>
      <c r="K42" s="208" t="s">
        <v>392</v>
      </c>
      <c r="L42" s="209"/>
    </row>
    <row r="43" ht="15.75" customHeight="1" spans="1:12">
      <c r="A43" s="130" t="s">
        <v>324</v>
      </c>
      <c r="B43" s="121" t="s">
        <v>393</v>
      </c>
      <c r="C43" s="63"/>
      <c r="D43" s="63"/>
      <c r="E43" s="63"/>
      <c r="F43" s="63"/>
      <c r="G43" s="71"/>
      <c r="H43" s="133">
        <v>0.015</v>
      </c>
      <c r="I43" s="197">
        <f t="shared" si="1"/>
        <v>29.5</v>
      </c>
      <c r="J43" s="194">
        <f t="shared" si="2"/>
        <v>24.49815</v>
      </c>
      <c r="K43" s="210" t="s">
        <v>392</v>
      </c>
      <c r="L43" s="211">
        <f>L10+L39</f>
        <v>3785.760626</v>
      </c>
    </row>
    <row r="44" ht="15.75" customHeight="1" spans="1:12">
      <c r="A44" s="130" t="s">
        <v>367</v>
      </c>
      <c r="B44" s="121" t="s">
        <v>394</v>
      </c>
      <c r="C44" s="63"/>
      <c r="D44" s="63"/>
      <c r="E44" s="63"/>
      <c r="F44" s="63"/>
      <c r="G44" s="71"/>
      <c r="H44" s="133">
        <v>0.01</v>
      </c>
      <c r="I44" s="197">
        <f t="shared" si="1"/>
        <v>19.67</v>
      </c>
      <c r="J44" s="194">
        <f t="shared" si="2"/>
        <v>16.3321</v>
      </c>
      <c r="K44" s="168"/>
      <c r="L44" s="212"/>
    </row>
    <row r="45" ht="15.75" customHeight="1" spans="1:12">
      <c r="A45" s="130" t="s">
        <v>370</v>
      </c>
      <c r="B45" s="121" t="s">
        <v>395</v>
      </c>
      <c r="C45" s="63"/>
      <c r="D45" s="63"/>
      <c r="E45" s="63"/>
      <c r="F45" s="63"/>
      <c r="G45" s="71"/>
      <c r="H45" s="133">
        <v>0.006</v>
      </c>
      <c r="I45" s="197">
        <f t="shared" si="1"/>
        <v>11.8</v>
      </c>
      <c r="J45" s="194">
        <f t="shared" si="2"/>
        <v>9.79926</v>
      </c>
      <c r="K45" s="168"/>
      <c r="L45" s="212"/>
    </row>
    <row r="46" ht="15.75" customHeight="1" spans="1:12">
      <c r="A46" s="130" t="s">
        <v>396</v>
      </c>
      <c r="B46" s="121" t="s">
        <v>397</v>
      </c>
      <c r="C46" s="63"/>
      <c r="D46" s="63"/>
      <c r="E46" s="63"/>
      <c r="F46" s="63"/>
      <c r="G46" s="71"/>
      <c r="H46" s="133">
        <v>0.002</v>
      </c>
      <c r="I46" s="197">
        <f t="shared" si="1"/>
        <v>3.93</v>
      </c>
      <c r="J46" s="194">
        <f t="shared" si="2"/>
        <v>3.26642</v>
      </c>
      <c r="K46" s="168"/>
      <c r="L46" s="212"/>
    </row>
    <row r="47" ht="15.75" customHeight="1" spans="1:12">
      <c r="A47" s="130" t="s">
        <v>398</v>
      </c>
      <c r="B47" s="121" t="s">
        <v>399</v>
      </c>
      <c r="C47" s="63"/>
      <c r="D47" s="63"/>
      <c r="E47" s="63"/>
      <c r="F47" s="63"/>
      <c r="G47" s="71"/>
      <c r="H47" s="133">
        <v>0.08</v>
      </c>
      <c r="I47" s="197">
        <f t="shared" si="1"/>
        <v>157.35</v>
      </c>
      <c r="J47" s="194">
        <f t="shared" si="2"/>
        <v>130.6568</v>
      </c>
      <c r="K47" s="168"/>
      <c r="L47" s="212"/>
    </row>
    <row r="48" ht="15.75" customHeight="1" spans="1:12">
      <c r="A48" s="119" t="s">
        <v>400</v>
      </c>
      <c r="B48" s="63"/>
      <c r="C48" s="63"/>
      <c r="D48" s="63"/>
      <c r="E48" s="63"/>
      <c r="F48" s="63"/>
      <c r="G48" s="71"/>
      <c r="H48" s="134">
        <f t="shared" ref="H48:I48" si="3">SUM(H40:H47)</f>
        <v>0.353</v>
      </c>
      <c r="I48" s="193">
        <f t="shared" si="3"/>
        <v>694.3</v>
      </c>
      <c r="J48" s="200"/>
      <c r="K48" s="168"/>
      <c r="L48" s="212"/>
    </row>
    <row r="49" ht="15.75" customHeight="1" spans="1:12">
      <c r="A49" s="143"/>
      <c r="B49" s="63"/>
      <c r="C49" s="63"/>
      <c r="D49" s="63"/>
      <c r="E49" s="63"/>
      <c r="F49" s="63"/>
      <c r="G49" s="63"/>
      <c r="H49" s="63"/>
      <c r="I49" s="71"/>
      <c r="J49" s="200"/>
      <c r="K49" s="213" t="s">
        <v>401</v>
      </c>
      <c r="L49" s="214"/>
    </row>
    <row r="50" ht="15.75" customHeight="1" spans="1:12">
      <c r="A50" s="119" t="s">
        <v>402</v>
      </c>
      <c r="B50" s="63"/>
      <c r="C50" s="63"/>
      <c r="D50" s="63"/>
      <c r="E50" s="63"/>
      <c r="F50" s="63"/>
      <c r="G50" s="71"/>
      <c r="H50" s="134"/>
      <c r="I50" s="131" t="s">
        <v>357</v>
      </c>
      <c r="J50" s="200"/>
      <c r="K50" s="215" t="s">
        <v>403</v>
      </c>
      <c r="L50" s="216"/>
    </row>
    <row r="51" ht="15.75" customHeight="1" spans="1:12">
      <c r="A51" s="144" t="s">
        <v>315</v>
      </c>
      <c r="B51" s="145" t="s">
        <v>404</v>
      </c>
      <c r="C51" s="146"/>
      <c r="D51" s="146"/>
      <c r="E51" s="146"/>
      <c r="F51" s="146"/>
      <c r="G51" s="147"/>
      <c r="H51" s="148">
        <v>3</v>
      </c>
      <c r="I51" s="217">
        <f>ROUND((H51*2*26)-0.06*I23,2)</f>
        <v>58.01</v>
      </c>
      <c r="J51" s="194">
        <f t="shared" ref="J51:J54" si="4">I51</f>
        <v>58.01</v>
      </c>
      <c r="K51" s="218" t="s">
        <v>405</v>
      </c>
      <c r="L51" s="219">
        <v>1</v>
      </c>
    </row>
    <row r="52" ht="15.75" customHeight="1" spans="1:12">
      <c r="A52" s="130" t="s">
        <v>317</v>
      </c>
      <c r="B52" s="129" t="s">
        <v>406</v>
      </c>
      <c r="C52" s="63"/>
      <c r="D52" s="63"/>
      <c r="E52" s="63"/>
      <c r="F52" s="63"/>
      <c r="G52" s="71"/>
      <c r="H52" s="120" t="s">
        <v>299</v>
      </c>
      <c r="I52" s="186">
        <v>412.05</v>
      </c>
      <c r="J52" s="194">
        <f t="shared" si="4"/>
        <v>412.05</v>
      </c>
      <c r="K52" s="220" t="s">
        <v>407</v>
      </c>
      <c r="L52" s="221">
        <f>L43</f>
        <v>3785.760626</v>
      </c>
    </row>
    <row r="53" ht="15.75" customHeight="1" spans="1:12">
      <c r="A53" s="149" t="s">
        <v>320</v>
      </c>
      <c r="B53" s="150" t="s">
        <v>408</v>
      </c>
      <c r="C53" s="151"/>
      <c r="D53" s="151"/>
      <c r="E53" s="151"/>
      <c r="F53" s="151"/>
      <c r="G53" s="152"/>
      <c r="H53" s="153" t="s">
        <v>299</v>
      </c>
      <c r="I53" s="222">
        <v>10.9</v>
      </c>
      <c r="J53" s="194">
        <f t="shared" si="4"/>
        <v>10.9</v>
      </c>
      <c r="K53" s="223"/>
      <c r="L53" s="224"/>
    </row>
    <row r="54" ht="15.75" customHeight="1" spans="1:12">
      <c r="A54" s="144" t="s">
        <v>324</v>
      </c>
      <c r="B54" s="145" t="s">
        <v>409</v>
      </c>
      <c r="C54" s="146"/>
      <c r="D54" s="146"/>
      <c r="E54" s="146"/>
      <c r="F54" s="146"/>
      <c r="G54" s="147"/>
      <c r="H54" s="154" t="s">
        <v>299</v>
      </c>
      <c r="I54" s="217">
        <v>2</v>
      </c>
      <c r="J54" s="194">
        <f t="shared" si="4"/>
        <v>2</v>
      </c>
      <c r="K54" s="225"/>
      <c r="L54" s="226"/>
    </row>
    <row r="55" ht="15.75" customHeight="1" spans="1:12">
      <c r="A55" s="119" t="s">
        <v>410</v>
      </c>
      <c r="B55" s="63"/>
      <c r="C55" s="63"/>
      <c r="D55" s="63"/>
      <c r="E55" s="63"/>
      <c r="F55" s="63"/>
      <c r="G55" s="63"/>
      <c r="H55" s="71"/>
      <c r="I55" s="193">
        <f>SUM(I51:I54)</f>
        <v>482.96</v>
      </c>
      <c r="J55" s="192"/>
      <c r="K55" s="227" t="s">
        <v>411</v>
      </c>
      <c r="L55" s="228">
        <f>I138</f>
        <v>3916.66</v>
      </c>
    </row>
    <row r="56" ht="15.75" customHeight="1" spans="1:12">
      <c r="A56" s="143"/>
      <c r="B56" s="63"/>
      <c r="C56" s="63"/>
      <c r="D56" s="63"/>
      <c r="E56" s="63"/>
      <c r="F56" s="63"/>
      <c r="G56" s="63"/>
      <c r="H56" s="63"/>
      <c r="I56" s="71"/>
      <c r="J56" s="192"/>
      <c r="K56" s="229" t="s">
        <v>412</v>
      </c>
      <c r="L56" s="221">
        <f>L43</f>
        <v>3785.760626</v>
      </c>
    </row>
    <row r="57" ht="15.75" customHeight="1" spans="1:12">
      <c r="A57" s="119" t="s">
        <v>413</v>
      </c>
      <c r="B57" s="63"/>
      <c r="C57" s="63"/>
      <c r="D57" s="63"/>
      <c r="E57" s="63"/>
      <c r="F57" s="63"/>
      <c r="G57" s="63"/>
      <c r="H57" s="63"/>
      <c r="I57" s="71"/>
      <c r="J57" s="192"/>
      <c r="K57" s="230" t="s">
        <v>414</v>
      </c>
      <c r="L57" s="231">
        <f>L55-L56</f>
        <v>130.899374</v>
      </c>
    </row>
    <row r="58" ht="15.75" customHeight="1" spans="1:12">
      <c r="A58" s="119" t="s">
        <v>415</v>
      </c>
      <c r="B58" s="63"/>
      <c r="C58" s="63"/>
      <c r="D58" s="63"/>
      <c r="E58" s="63"/>
      <c r="F58" s="63"/>
      <c r="G58" s="63"/>
      <c r="H58" s="71"/>
      <c r="I58" s="131" t="s">
        <v>357</v>
      </c>
      <c r="J58" s="192"/>
      <c r="K58" s="232" t="s">
        <v>416</v>
      </c>
      <c r="L58" s="233">
        <f>SUM(I68:I71,I96,I104,I113)</f>
        <v>146.65</v>
      </c>
    </row>
    <row r="59" ht="15.75" customHeight="1" spans="1:12">
      <c r="A59" s="130" t="s">
        <v>211</v>
      </c>
      <c r="B59" s="117" t="s">
        <v>417</v>
      </c>
      <c r="C59" s="63"/>
      <c r="D59" s="63"/>
      <c r="E59" s="63"/>
      <c r="F59" s="63"/>
      <c r="G59" s="63"/>
      <c r="H59" s="71"/>
      <c r="I59" s="197">
        <f>I35</f>
        <v>333.67</v>
      </c>
      <c r="J59" s="192"/>
      <c r="K59" s="232" t="s">
        <v>418</v>
      </c>
      <c r="L59" s="234">
        <f>L57-L58</f>
        <v>-15.7506259999999</v>
      </c>
    </row>
    <row r="60" ht="15.75" customHeight="1" spans="1:12">
      <c r="A60" s="130" t="s">
        <v>241</v>
      </c>
      <c r="B60" s="117" t="s">
        <v>419</v>
      </c>
      <c r="C60" s="63"/>
      <c r="D60" s="63"/>
      <c r="E60" s="63"/>
      <c r="F60" s="63"/>
      <c r="G60" s="63"/>
      <c r="H60" s="71"/>
      <c r="I60" s="197">
        <f>I48</f>
        <v>694.3</v>
      </c>
      <c r="J60" s="192"/>
      <c r="K60" s="235" t="s">
        <v>420</v>
      </c>
      <c r="L60" s="236">
        <f>ROUND(L59*L51,2)</f>
        <v>-15.75</v>
      </c>
    </row>
    <row r="61" ht="15.75" customHeight="1" spans="1:12">
      <c r="A61" s="130" t="s">
        <v>253</v>
      </c>
      <c r="B61" s="117" t="s">
        <v>421</v>
      </c>
      <c r="C61" s="63"/>
      <c r="D61" s="63"/>
      <c r="E61" s="63"/>
      <c r="F61" s="63"/>
      <c r="G61" s="63"/>
      <c r="H61" s="71"/>
      <c r="I61" s="197">
        <f>I55</f>
        <v>482.96</v>
      </c>
      <c r="J61" s="192"/>
      <c r="K61" s="235" t="s">
        <v>422</v>
      </c>
      <c r="L61" s="236">
        <f>ROUND((L59*12)*L51,2)</f>
        <v>-189.01</v>
      </c>
    </row>
    <row r="62" ht="15.75" customHeight="1" spans="1:12">
      <c r="A62" s="119" t="s">
        <v>423</v>
      </c>
      <c r="B62" s="63"/>
      <c r="C62" s="63"/>
      <c r="D62" s="63"/>
      <c r="E62" s="63"/>
      <c r="F62" s="63"/>
      <c r="G62" s="63"/>
      <c r="H62" s="71"/>
      <c r="I62" s="193">
        <f>SUM(I59:I61)</f>
        <v>1510.93</v>
      </c>
      <c r="J62" s="192"/>
      <c r="K62" s="237" t="s">
        <v>424</v>
      </c>
      <c r="L62" s="238"/>
    </row>
    <row r="63" ht="15.75" customHeight="1" spans="1:12">
      <c r="A63" s="155" t="s">
        <v>425</v>
      </c>
      <c r="B63" s="136"/>
      <c r="C63" s="136"/>
      <c r="D63" s="136"/>
      <c r="E63" s="136"/>
      <c r="F63" s="136"/>
      <c r="G63" s="137" t="s">
        <v>381</v>
      </c>
      <c r="H63" s="63"/>
      <c r="I63" s="198">
        <f>I29</f>
        <v>1633.21</v>
      </c>
      <c r="J63" s="192"/>
      <c r="K63" s="239"/>
      <c r="L63" s="240"/>
    </row>
    <row r="64" ht="15.75" customHeight="1" spans="1:12">
      <c r="A64" s="138"/>
      <c r="F64" s="139"/>
      <c r="G64" s="137" t="s">
        <v>426</v>
      </c>
      <c r="H64" s="63"/>
      <c r="I64" s="198">
        <f>I62</f>
        <v>1510.93</v>
      </c>
      <c r="J64" s="192"/>
      <c r="K64" s="239"/>
      <c r="L64" s="240"/>
    </row>
    <row r="65" ht="15.75" customHeight="1" spans="1:12">
      <c r="A65" s="140"/>
      <c r="B65" s="141"/>
      <c r="C65" s="141"/>
      <c r="D65" s="141"/>
      <c r="E65" s="141"/>
      <c r="F65" s="141"/>
      <c r="G65" s="142" t="s">
        <v>384</v>
      </c>
      <c r="H65" s="63"/>
      <c r="I65" s="201">
        <f>SUM(I63:I64)</f>
        <v>3144.14</v>
      </c>
      <c r="J65" s="192"/>
      <c r="K65" s="239"/>
      <c r="L65" s="240"/>
    </row>
    <row r="66" ht="15.75" customHeight="1" spans="1:12">
      <c r="A66" s="119" t="s">
        <v>427</v>
      </c>
      <c r="B66" s="63"/>
      <c r="C66" s="63"/>
      <c r="D66" s="63"/>
      <c r="E66" s="63"/>
      <c r="F66" s="63"/>
      <c r="G66" s="63"/>
      <c r="H66" s="63"/>
      <c r="I66" s="71"/>
      <c r="J66" s="192"/>
      <c r="K66" s="239"/>
      <c r="L66" s="240"/>
    </row>
    <row r="67" ht="15.75" customHeight="1" spans="1:12">
      <c r="A67" s="241">
        <v>3</v>
      </c>
      <c r="B67" s="119" t="s">
        <v>428</v>
      </c>
      <c r="C67" s="63"/>
      <c r="D67" s="63"/>
      <c r="E67" s="63"/>
      <c r="F67" s="63"/>
      <c r="G67" s="71"/>
      <c r="H67" s="131" t="s">
        <v>356</v>
      </c>
      <c r="I67" s="131" t="s">
        <v>357</v>
      </c>
      <c r="J67" s="192"/>
      <c r="K67" s="239"/>
      <c r="L67" s="240"/>
    </row>
    <row r="68" ht="15.75" customHeight="1" spans="1:12">
      <c r="A68" s="130" t="s">
        <v>315</v>
      </c>
      <c r="B68" s="121" t="s">
        <v>429</v>
      </c>
      <c r="C68" s="63"/>
      <c r="D68" s="63"/>
      <c r="E68" s="63"/>
      <c r="F68" s="63"/>
      <c r="G68" s="71"/>
      <c r="H68" s="133">
        <f>ROUND(((1/12)*5%),4)</f>
        <v>0.0042</v>
      </c>
      <c r="I68" s="197">
        <f t="shared" ref="I68:I72" si="5">ROUND(H68*$I$65,2)</f>
        <v>13.21</v>
      </c>
      <c r="J68" s="192"/>
      <c r="K68" s="239"/>
      <c r="L68" s="240"/>
    </row>
    <row r="69" ht="15.75" customHeight="1" spans="1:12">
      <c r="A69" s="130" t="s">
        <v>317</v>
      </c>
      <c r="B69" s="121" t="s">
        <v>430</v>
      </c>
      <c r="C69" s="63"/>
      <c r="D69" s="63"/>
      <c r="E69" s="63"/>
      <c r="F69" s="63"/>
      <c r="G69" s="71"/>
      <c r="H69" s="133">
        <f>TRUNC(H68*H47,4)</f>
        <v>0.0003</v>
      </c>
      <c r="I69" s="197">
        <f t="shared" si="5"/>
        <v>0.94</v>
      </c>
      <c r="J69" s="192"/>
      <c r="K69" s="239"/>
      <c r="L69" s="240"/>
    </row>
    <row r="70" ht="15.75" customHeight="1" spans="1:12">
      <c r="A70" s="130" t="s">
        <v>320</v>
      </c>
      <c r="B70" s="121" t="s">
        <v>431</v>
      </c>
      <c r="C70" s="63"/>
      <c r="D70" s="63"/>
      <c r="E70" s="63"/>
      <c r="F70" s="63"/>
      <c r="G70" s="71"/>
      <c r="H70" s="133">
        <f>ROUND(((7/30)/12)*95%,4)</f>
        <v>0.0185</v>
      </c>
      <c r="I70" s="197">
        <f t="shared" si="5"/>
        <v>58.17</v>
      </c>
      <c r="J70" s="192"/>
      <c r="K70" s="239"/>
      <c r="L70" s="240"/>
    </row>
    <row r="71" ht="15.75" customHeight="1" spans="1:12">
      <c r="A71" s="130" t="s">
        <v>324</v>
      </c>
      <c r="B71" s="242" t="s">
        <v>432</v>
      </c>
      <c r="C71" s="63"/>
      <c r="D71" s="63"/>
      <c r="E71" s="63"/>
      <c r="F71" s="63"/>
      <c r="G71" s="71"/>
      <c r="H71" s="133">
        <f>ROUND(H70*H48,4)</f>
        <v>0.0065</v>
      </c>
      <c r="I71" s="197">
        <f t="shared" si="5"/>
        <v>20.44</v>
      </c>
      <c r="J71" s="192"/>
      <c r="K71" s="271"/>
      <c r="L71" s="272"/>
    </row>
    <row r="72" ht="15.75" customHeight="1" spans="1:12">
      <c r="A72" s="130" t="s">
        <v>367</v>
      </c>
      <c r="B72" s="121" t="s">
        <v>433</v>
      </c>
      <c r="C72" s="63"/>
      <c r="D72" s="63"/>
      <c r="E72" s="63"/>
      <c r="F72" s="63"/>
      <c r="G72" s="71"/>
      <c r="H72" s="133">
        <v>0.04</v>
      </c>
      <c r="I72" s="197">
        <f t="shared" si="5"/>
        <v>125.77</v>
      </c>
      <c r="J72" s="194">
        <f>I72</f>
        <v>125.77</v>
      </c>
      <c r="K72" s="168"/>
      <c r="L72" s="168"/>
    </row>
    <row r="73" ht="15.75" customHeight="1" spans="1:12">
      <c r="A73" s="119" t="s">
        <v>434</v>
      </c>
      <c r="B73" s="63"/>
      <c r="C73" s="63"/>
      <c r="D73" s="63"/>
      <c r="E73" s="63"/>
      <c r="F73" s="63"/>
      <c r="G73" s="71"/>
      <c r="H73" s="134">
        <f t="shared" ref="H73:I73" si="6">SUM(H68:H72)</f>
        <v>0.0695</v>
      </c>
      <c r="I73" s="193">
        <f t="shared" si="6"/>
        <v>218.53</v>
      </c>
      <c r="J73" s="192"/>
      <c r="K73" s="168"/>
      <c r="L73" s="168"/>
    </row>
    <row r="74" ht="15.75" customHeight="1" spans="1:12">
      <c r="A74" s="135" t="s">
        <v>435</v>
      </c>
      <c r="B74" s="136"/>
      <c r="C74" s="136"/>
      <c r="D74" s="136"/>
      <c r="E74" s="136"/>
      <c r="F74" s="136"/>
      <c r="G74" s="137" t="s">
        <v>381</v>
      </c>
      <c r="H74" s="63"/>
      <c r="I74" s="198">
        <f>I29</f>
        <v>1633.21</v>
      </c>
      <c r="J74" s="192"/>
      <c r="K74" s="168"/>
      <c r="L74" s="168"/>
    </row>
    <row r="75" ht="15.75" customHeight="1" spans="1:12">
      <c r="A75" s="138"/>
      <c r="F75" s="139"/>
      <c r="G75" s="137" t="s">
        <v>426</v>
      </c>
      <c r="H75" s="63"/>
      <c r="I75" s="198">
        <f>I62</f>
        <v>1510.93</v>
      </c>
      <c r="J75" s="192"/>
      <c r="K75" s="273"/>
      <c r="L75" s="168"/>
    </row>
    <row r="76" ht="15.75" customHeight="1" spans="1:12">
      <c r="A76" s="138"/>
      <c r="F76" s="139"/>
      <c r="G76" s="137" t="s">
        <v>436</v>
      </c>
      <c r="H76" s="63"/>
      <c r="I76" s="198">
        <f>I73</f>
        <v>218.53</v>
      </c>
      <c r="J76" s="192"/>
      <c r="K76" s="273"/>
      <c r="L76" s="168"/>
    </row>
    <row r="77" ht="15.75" customHeight="1" spans="1:12">
      <c r="A77" s="138"/>
      <c r="B77" s="139"/>
      <c r="C77" s="139"/>
      <c r="D77" s="139"/>
      <c r="E77" s="139"/>
      <c r="F77" s="139"/>
      <c r="G77" s="142" t="s">
        <v>384</v>
      </c>
      <c r="H77" s="63"/>
      <c r="I77" s="201">
        <f>SUM(I74:I76)</f>
        <v>3362.67</v>
      </c>
      <c r="J77" s="192"/>
      <c r="K77" s="273"/>
      <c r="L77" s="168"/>
    </row>
    <row r="78" ht="15.75" customHeight="1" spans="1:12">
      <c r="A78" s="119" t="s">
        <v>437</v>
      </c>
      <c r="B78" s="63"/>
      <c r="C78" s="63"/>
      <c r="D78" s="63"/>
      <c r="E78" s="63"/>
      <c r="F78" s="63"/>
      <c r="G78" s="63"/>
      <c r="H78" s="63"/>
      <c r="I78" s="71"/>
      <c r="J78" s="195"/>
      <c r="K78" s="273"/>
      <c r="L78" s="168"/>
    </row>
    <row r="79" ht="15.75" customHeight="1" spans="1:12">
      <c r="A79" s="119" t="s">
        <v>438</v>
      </c>
      <c r="B79" s="63"/>
      <c r="C79" s="63"/>
      <c r="D79" s="63"/>
      <c r="E79" s="63"/>
      <c r="F79" s="63"/>
      <c r="G79" s="71"/>
      <c r="H79" s="131" t="s">
        <v>356</v>
      </c>
      <c r="I79" s="131" t="s">
        <v>357</v>
      </c>
      <c r="J79" s="192"/>
      <c r="K79" s="273"/>
      <c r="L79" s="168"/>
    </row>
    <row r="80" ht="15.75" customHeight="1" spans="1:12">
      <c r="A80" s="130" t="s">
        <v>315</v>
      </c>
      <c r="B80" s="121" t="s">
        <v>439</v>
      </c>
      <c r="C80" s="63"/>
      <c r="D80" s="63"/>
      <c r="E80" s="63"/>
      <c r="F80" s="63"/>
      <c r="G80" s="71"/>
      <c r="H80" s="133">
        <f>ROUND(((1+1/3)/12)/12,4)</f>
        <v>0.0093</v>
      </c>
      <c r="I80" s="197">
        <f t="shared" ref="I80:I85" si="7">ROUND(H80*$I$77,2)</f>
        <v>31.27</v>
      </c>
      <c r="J80" s="192"/>
      <c r="K80" s="273"/>
      <c r="L80" s="168"/>
    </row>
    <row r="81" ht="15.75" customHeight="1" spans="1:12">
      <c r="A81" s="243" t="s">
        <v>317</v>
      </c>
      <c r="B81" s="244" t="s">
        <v>440</v>
      </c>
      <c r="C81" s="146"/>
      <c r="D81" s="146"/>
      <c r="E81" s="146"/>
      <c r="F81" s="146"/>
      <c r="G81" s="147"/>
      <c r="H81" s="245">
        <f>ROUND(1/30/12,4)</f>
        <v>0.0028</v>
      </c>
      <c r="I81" s="274">
        <f t="shared" si="7"/>
        <v>9.42</v>
      </c>
      <c r="J81" s="192"/>
      <c r="K81" s="273"/>
      <c r="L81" s="275"/>
    </row>
    <row r="82" ht="15.75" customHeight="1" spans="1:12">
      <c r="A82" s="243" t="s">
        <v>320</v>
      </c>
      <c r="B82" s="244" t="s">
        <v>441</v>
      </c>
      <c r="C82" s="146"/>
      <c r="D82" s="146"/>
      <c r="E82" s="146"/>
      <c r="F82" s="146"/>
      <c r="G82" s="147"/>
      <c r="H82" s="245">
        <f>ROUND(((5/30)/12)*1.5%,4)</f>
        <v>0.0002</v>
      </c>
      <c r="I82" s="274">
        <f t="shared" si="7"/>
        <v>0.67</v>
      </c>
      <c r="J82" s="192"/>
      <c r="K82" s="273"/>
      <c r="L82" s="168"/>
    </row>
    <row r="83" ht="15.75" customHeight="1" spans="1:12">
      <c r="A83" s="243" t="s">
        <v>324</v>
      </c>
      <c r="B83" s="244" t="s">
        <v>442</v>
      </c>
      <c r="C83" s="146"/>
      <c r="D83" s="146"/>
      <c r="E83" s="146"/>
      <c r="F83" s="146"/>
      <c r="G83" s="147"/>
      <c r="H83" s="245">
        <f>ROUND(((15/30)/12)*6.5%,4)</f>
        <v>0.0027</v>
      </c>
      <c r="I83" s="274">
        <f t="shared" si="7"/>
        <v>9.08</v>
      </c>
      <c r="J83" s="192"/>
      <c r="K83" s="168"/>
      <c r="L83" s="168"/>
    </row>
    <row r="84" ht="15.75" customHeight="1" spans="1:12">
      <c r="A84" s="130" t="s">
        <v>367</v>
      </c>
      <c r="B84" s="121" t="s">
        <v>443</v>
      </c>
      <c r="C84" s="63"/>
      <c r="D84" s="63"/>
      <c r="E84" s="63"/>
      <c r="F84" s="63"/>
      <c r="G84" s="71"/>
      <c r="H84" s="133">
        <f>ROUND(((1+1/3)/12*4/12)*2%,4)</f>
        <v>0.0007</v>
      </c>
      <c r="I84" s="197">
        <f t="shared" si="7"/>
        <v>2.35</v>
      </c>
      <c r="J84" s="192"/>
      <c r="K84" s="168"/>
      <c r="L84" s="168"/>
    </row>
    <row r="85" ht="15.75" customHeight="1" spans="1:12">
      <c r="A85" s="246" t="s">
        <v>370</v>
      </c>
      <c r="B85" s="247" t="s">
        <v>444</v>
      </c>
      <c r="C85" s="63"/>
      <c r="D85" s="63"/>
      <c r="E85" s="63"/>
      <c r="F85" s="63"/>
      <c r="G85" s="71"/>
      <c r="H85" s="248">
        <v>0</v>
      </c>
      <c r="I85" s="197">
        <f t="shared" si="7"/>
        <v>0</v>
      </c>
      <c r="J85" s="192"/>
      <c r="K85" s="168"/>
      <c r="L85" s="168"/>
    </row>
    <row r="86" ht="15.75" customHeight="1" spans="1:12">
      <c r="A86" s="119" t="s">
        <v>445</v>
      </c>
      <c r="B86" s="63"/>
      <c r="C86" s="63"/>
      <c r="D86" s="63"/>
      <c r="E86" s="63"/>
      <c r="F86" s="63"/>
      <c r="G86" s="71"/>
      <c r="H86" s="134">
        <f t="shared" ref="H86:I86" si="8">SUM(H80:H85)</f>
        <v>0.0157</v>
      </c>
      <c r="I86" s="193">
        <f t="shared" si="8"/>
        <v>52.79</v>
      </c>
      <c r="J86" s="192"/>
      <c r="K86" s="168"/>
      <c r="L86" s="168"/>
    </row>
    <row r="87" ht="15.75" customHeight="1" spans="1:12">
      <c r="A87" s="143"/>
      <c r="B87" s="63"/>
      <c r="C87" s="63"/>
      <c r="D87" s="63"/>
      <c r="E87" s="63"/>
      <c r="F87" s="63"/>
      <c r="G87" s="63"/>
      <c r="H87" s="63"/>
      <c r="I87" s="71"/>
      <c r="J87" s="192"/>
      <c r="K87" s="168"/>
      <c r="L87" s="168"/>
    </row>
    <row r="88" ht="15.75" customHeight="1" spans="1:12">
      <c r="A88" s="249" t="s">
        <v>446</v>
      </c>
      <c r="B88" s="63"/>
      <c r="C88" s="63"/>
      <c r="D88" s="63"/>
      <c r="E88" s="63"/>
      <c r="F88" s="63"/>
      <c r="G88" s="71"/>
      <c r="H88" s="250" t="s">
        <v>356</v>
      </c>
      <c r="I88" s="250" t="s">
        <v>357</v>
      </c>
      <c r="J88" s="192"/>
      <c r="K88" s="168"/>
      <c r="L88" s="276"/>
    </row>
    <row r="89" ht="15.75" customHeight="1" spans="1:12">
      <c r="A89" s="246" t="s">
        <v>315</v>
      </c>
      <c r="B89" s="247" t="s">
        <v>447</v>
      </c>
      <c r="C89" s="63"/>
      <c r="D89" s="63"/>
      <c r="E89" s="63"/>
      <c r="F89" s="63"/>
      <c r="G89" s="71"/>
      <c r="H89" s="248">
        <v>0</v>
      </c>
      <c r="I89" s="277">
        <f>I29*H89</f>
        <v>0</v>
      </c>
      <c r="J89" s="192"/>
      <c r="K89" s="278"/>
      <c r="L89" s="168"/>
    </row>
    <row r="90" ht="15.75" customHeight="1" spans="1:12">
      <c r="A90" s="249" t="s">
        <v>448</v>
      </c>
      <c r="B90" s="63"/>
      <c r="C90" s="63"/>
      <c r="D90" s="63"/>
      <c r="E90" s="63"/>
      <c r="F90" s="63"/>
      <c r="G90" s="71"/>
      <c r="H90" s="251">
        <f t="shared" ref="H90:I90" si="9">H89</f>
        <v>0</v>
      </c>
      <c r="I90" s="279">
        <f t="shared" si="9"/>
        <v>0</v>
      </c>
      <c r="J90" s="192"/>
      <c r="K90" s="168"/>
      <c r="L90" s="168"/>
    </row>
    <row r="91" ht="15.75" customHeight="1" spans="1:12">
      <c r="A91" s="143"/>
      <c r="B91" s="63"/>
      <c r="C91" s="63"/>
      <c r="D91" s="63"/>
      <c r="E91" s="63"/>
      <c r="F91" s="63"/>
      <c r="G91" s="63"/>
      <c r="H91" s="63"/>
      <c r="I91" s="71"/>
      <c r="J91" s="192"/>
      <c r="K91" s="168"/>
      <c r="L91" s="168"/>
    </row>
    <row r="92" ht="15.75" customHeight="1" spans="1:12">
      <c r="A92" s="119" t="s">
        <v>449</v>
      </c>
      <c r="B92" s="63"/>
      <c r="C92" s="63"/>
      <c r="D92" s="63"/>
      <c r="E92" s="63"/>
      <c r="F92" s="63"/>
      <c r="G92" s="63"/>
      <c r="H92" s="63"/>
      <c r="I92" s="71"/>
      <c r="J92" s="192"/>
      <c r="K92" s="280"/>
      <c r="L92" s="168"/>
    </row>
    <row r="93" ht="15.75" customHeight="1" spans="1:12">
      <c r="A93" s="119" t="s">
        <v>450</v>
      </c>
      <c r="B93" s="63"/>
      <c r="C93" s="63"/>
      <c r="D93" s="63"/>
      <c r="E93" s="63"/>
      <c r="F93" s="63"/>
      <c r="G93" s="63"/>
      <c r="H93" s="71"/>
      <c r="I93" s="131" t="s">
        <v>357</v>
      </c>
      <c r="J93" s="192"/>
      <c r="K93" s="168"/>
      <c r="L93" s="168"/>
    </row>
    <row r="94" ht="15.75" customHeight="1" spans="1:12">
      <c r="A94" s="130" t="s">
        <v>451</v>
      </c>
      <c r="B94" s="117" t="s">
        <v>452</v>
      </c>
      <c r="C94" s="63"/>
      <c r="D94" s="63"/>
      <c r="E94" s="63"/>
      <c r="F94" s="63"/>
      <c r="G94" s="63"/>
      <c r="H94" s="71"/>
      <c r="I94" s="197">
        <f>I86</f>
        <v>52.79</v>
      </c>
      <c r="J94" s="192"/>
      <c r="K94" s="168"/>
      <c r="L94" s="168"/>
    </row>
    <row r="95" ht="15.75" customHeight="1" spans="1:12">
      <c r="A95" s="246" t="s">
        <v>453</v>
      </c>
      <c r="B95" s="252" t="s">
        <v>454</v>
      </c>
      <c r="C95" s="63"/>
      <c r="D95" s="63"/>
      <c r="E95" s="63"/>
      <c r="F95" s="63"/>
      <c r="G95" s="63"/>
      <c r="H95" s="71"/>
      <c r="I95" s="277">
        <f>I90</f>
        <v>0</v>
      </c>
      <c r="J95" s="192"/>
      <c r="K95" s="168"/>
      <c r="L95" s="168"/>
    </row>
    <row r="96" ht="15.75" customHeight="1" spans="1:12">
      <c r="A96" s="119" t="s">
        <v>455</v>
      </c>
      <c r="B96" s="63"/>
      <c r="C96" s="63"/>
      <c r="D96" s="63"/>
      <c r="E96" s="63"/>
      <c r="F96" s="63"/>
      <c r="G96" s="63"/>
      <c r="H96" s="71"/>
      <c r="I96" s="193">
        <f>SUM(I94:I95)</f>
        <v>52.79</v>
      </c>
      <c r="J96" s="192"/>
      <c r="K96" s="168"/>
      <c r="L96" s="168"/>
    </row>
    <row r="97" ht="15.75" customHeight="1" spans="1:12">
      <c r="A97" s="143"/>
      <c r="B97" s="63"/>
      <c r="C97" s="63"/>
      <c r="D97" s="63"/>
      <c r="E97" s="63"/>
      <c r="F97" s="63"/>
      <c r="G97" s="63"/>
      <c r="H97" s="63"/>
      <c r="I97" s="71"/>
      <c r="J97" s="192"/>
      <c r="K97" s="168"/>
      <c r="L97" s="168"/>
    </row>
    <row r="98" ht="15.75" customHeight="1" spans="1:12">
      <c r="A98" s="119" t="s">
        <v>456</v>
      </c>
      <c r="B98" s="63"/>
      <c r="C98" s="63"/>
      <c r="D98" s="63"/>
      <c r="E98" s="63"/>
      <c r="F98" s="63"/>
      <c r="G98" s="63"/>
      <c r="H98" s="63"/>
      <c r="I98" s="71"/>
      <c r="J98" s="192"/>
      <c r="K98" s="168"/>
      <c r="L98" s="168"/>
    </row>
    <row r="99" ht="15.75" customHeight="1" spans="1:12">
      <c r="A99" s="131">
        <v>5</v>
      </c>
      <c r="B99" s="119" t="s">
        <v>457</v>
      </c>
      <c r="C99" s="63"/>
      <c r="D99" s="63"/>
      <c r="E99" s="63"/>
      <c r="F99" s="63"/>
      <c r="G99" s="71"/>
      <c r="H99" s="131"/>
      <c r="I99" s="131" t="s">
        <v>357</v>
      </c>
      <c r="J99" s="192"/>
      <c r="K99" s="168"/>
      <c r="L99" s="168"/>
    </row>
    <row r="100" ht="15.75" customHeight="1" spans="1:12">
      <c r="A100" s="253" t="s">
        <v>315</v>
      </c>
      <c r="B100" s="254" t="s">
        <v>458</v>
      </c>
      <c r="C100" s="151"/>
      <c r="D100" s="151"/>
      <c r="E100" s="151"/>
      <c r="F100" s="151"/>
      <c r="G100" s="152"/>
      <c r="H100" s="255" t="s">
        <v>299</v>
      </c>
      <c r="I100" s="281">
        <v>0</v>
      </c>
      <c r="J100" s="192"/>
      <c r="K100" s="168"/>
      <c r="L100" s="168"/>
    </row>
    <row r="101" ht="15.75" customHeight="1" spans="1:12">
      <c r="A101" s="253" t="s">
        <v>317</v>
      </c>
      <c r="B101" s="254" t="s">
        <v>459</v>
      </c>
      <c r="C101" s="151"/>
      <c r="D101" s="151"/>
      <c r="E101" s="151"/>
      <c r="F101" s="151"/>
      <c r="G101" s="152"/>
      <c r="H101" s="255" t="s">
        <v>299</v>
      </c>
      <c r="I101" s="281">
        <v>0</v>
      </c>
      <c r="J101" s="192"/>
      <c r="K101" s="168"/>
      <c r="L101" s="168"/>
    </row>
    <row r="102" ht="15.75" customHeight="1" spans="1:12">
      <c r="A102" s="253" t="s">
        <v>320</v>
      </c>
      <c r="B102" s="254" t="s">
        <v>460</v>
      </c>
      <c r="C102" s="151"/>
      <c r="D102" s="151"/>
      <c r="E102" s="151"/>
      <c r="F102" s="151"/>
      <c r="G102" s="152"/>
      <c r="H102" s="255" t="s">
        <v>299</v>
      </c>
      <c r="I102" s="281">
        <v>0</v>
      </c>
      <c r="J102" s="192"/>
      <c r="K102" s="168"/>
      <c r="L102" s="168"/>
    </row>
    <row r="103" ht="15.75" customHeight="1" spans="1:12">
      <c r="A103" s="253" t="s">
        <v>324</v>
      </c>
      <c r="B103" s="254" t="s">
        <v>461</v>
      </c>
      <c r="C103" s="151"/>
      <c r="D103" s="151"/>
      <c r="E103" s="151"/>
      <c r="F103" s="151"/>
      <c r="G103" s="152"/>
      <c r="H103" s="256" t="s">
        <v>299</v>
      </c>
      <c r="I103" s="281">
        <v>0.76</v>
      </c>
      <c r="J103" s="192"/>
      <c r="K103" s="168"/>
      <c r="L103" s="168"/>
    </row>
    <row r="104" ht="15.75" customHeight="1" spans="1:12">
      <c r="A104" s="119" t="s">
        <v>462</v>
      </c>
      <c r="B104" s="63"/>
      <c r="C104" s="63"/>
      <c r="D104" s="63"/>
      <c r="E104" s="63"/>
      <c r="F104" s="63"/>
      <c r="G104" s="71"/>
      <c r="H104" s="134" t="s">
        <v>299</v>
      </c>
      <c r="I104" s="193">
        <f>SUM(I100:I103)</f>
        <v>0.76</v>
      </c>
      <c r="J104" s="192"/>
      <c r="K104" s="168"/>
      <c r="L104" s="168"/>
    </row>
    <row r="105" ht="15.75" customHeight="1" spans="1:12">
      <c r="A105" s="135" t="s">
        <v>463</v>
      </c>
      <c r="B105" s="136"/>
      <c r="C105" s="136"/>
      <c r="D105" s="136"/>
      <c r="E105" s="136"/>
      <c r="F105" s="136"/>
      <c r="G105" s="137" t="s">
        <v>381</v>
      </c>
      <c r="H105" s="63"/>
      <c r="I105" s="198">
        <f>I29</f>
        <v>1633.21</v>
      </c>
      <c r="J105" s="192"/>
      <c r="K105" s="168"/>
      <c r="L105" s="168"/>
    </row>
    <row r="106" ht="15.75" customHeight="1" spans="1:12">
      <c r="A106" s="138"/>
      <c r="F106" s="139"/>
      <c r="G106" s="137" t="s">
        <v>426</v>
      </c>
      <c r="H106" s="63"/>
      <c r="I106" s="198">
        <f>I62</f>
        <v>1510.93</v>
      </c>
      <c r="J106" s="192"/>
      <c r="K106" s="168"/>
      <c r="L106" s="168"/>
    </row>
    <row r="107" ht="15.75" customHeight="1" spans="1:12">
      <c r="A107" s="138"/>
      <c r="F107" s="139"/>
      <c r="G107" s="137" t="s">
        <v>436</v>
      </c>
      <c r="H107" s="63"/>
      <c r="I107" s="198">
        <f>I73</f>
        <v>218.53</v>
      </c>
      <c r="J107" s="192"/>
      <c r="K107" s="168"/>
      <c r="L107" s="168"/>
    </row>
    <row r="108" ht="15.75" customHeight="1" spans="1:12">
      <c r="A108" s="138"/>
      <c r="F108" s="139"/>
      <c r="G108" s="137" t="s">
        <v>464</v>
      </c>
      <c r="H108" s="63"/>
      <c r="I108" s="198">
        <f>I96</f>
        <v>52.79</v>
      </c>
      <c r="J108" s="192"/>
      <c r="K108" s="168"/>
      <c r="L108" s="168"/>
    </row>
    <row r="109" ht="15.75" customHeight="1" spans="1:12">
      <c r="A109" s="138"/>
      <c r="F109" s="139"/>
      <c r="G109" s="137" t="s">
        <v>465</v>
      </c>
      <c r="H109" s="63"/>
      <c r="I109" s="198">
        <f>I104</f>
        <v>0.76</v>
      </c>
      <c r="J109" s="192"/>
      <c r="K109" s="168"/>
      <c r="L109" s="168"/>
    </row>
    <row r="110" ht="15.75" customHeight="1" spans="1:12">
      <c r="A110" s="138"/>
      <c r="B110" s="139"/>
      <c r="C110" s="139"/>
      <c r="D110" s="139"/>
      <c r="E110" s="139"/>
      <c r="F110" s="139"/>
      <c r="G110" s="142" t="s">
        <v>384</v>
      </c>
      <c r="H110" s="63"/>
      <c r="I110" s="201">
        <f>SUM(I105:I109)</f>
        <v>3416.22</v>
      </c>
      <c r="J110" s="192"/>
      <c r="K110" s="205"/>
      <c r="L110" s="205"/>
    </row>
    <row r="111" ht="15.75" customHeight="1" spans="1:12">
      <c r="A111" s="119" t="s">
        <v>466</v>
      </c>
      <c r="B111" s="63"/>
      <c r="C111" s="63"/>
      <c r="D111" s="63"/>
      <c r="E111" s="63"/>
      <c r="F111" s="63"/>
      <c r="G111" s="63"/>
      <c r="H111" s="63"/>
      <c r="I111" s="71"/>
      <c r="J111" s="192"/>
      <c r="K111" s="205"/>
      <c r="L111" s="205"/>
    </row>
    <row r="112" ht="15.75" customHeight="1" spans="1:12">
      <c r="A112" s="131">
        <v>6</v>
      </c>
      <c r="B112" s="119" t="s">
        <v>467</v>
      </c>
      <c r="C112" s="63"/>
      <c r="D112" s="63"/>
      <c r="E112" s="63"/>
      <c r="F112" s="63"/>
      <c r="G112" s="71"/>
      <c r="H112" s="131" t="s">
        <v>356</v>
      </c>
      <c r="I112" s="131" t="s">
        <v>357</v>
      </c>
      <c r="J112" s="192"/>
      <c r="K112" s="168"/>
      <c r="L112" s="168"/>
    </row>
    <row r="113" ht="15.75" customHeight="1" spans="1:12">
      <c r="A113" s="130" t="s">
        <v>315</v>
      </c>
      <c r="B113" s="121" t="s">
        <v>468</v>
      </c>
      <c r="C113" s="63"/>
      <c r="D113" s="63"/>
      <c r="E113" s="63"/>
      <c r="F113" s="63"/>
      <c r="G113" s="71"/>
      <c r="H113" s="257">
        <v>0.0001</v>
      </c>
      <c r="I113" s="197">
        <f>ROUND(H113*I110,2)</f>
        <v>0.34</v>
      </c>
      <c r="J113" s="192"/>
      <c r="K113" s="168"/>
      <c r="L113" s="168"/>
    </row>
    <row r="114" ht="15.75" customHeight="1" spans="1:12">
      <c r="A114" s="130" t="s">
        <v>317</v>
      </c>
      <c r="B114" s="121" t="s">
        <v>469</v>
      </c>
      <c r="C114" s="63"/>
      <c r="D114" s="63"/>
      <c r="E114" s="63"/>
      <c r="F114" s="63"/>
      <c r="G114" s="71"/>
      <c r="H114" s="257">
        <v>0.0001</v>
      </c>
      <c r="I114" s="197">
        <f>ROUND(H114*(I110+I113),2)</f>
        <v>0.34</v>
      </c>
      <c r="J114" s="192"/>
      <c r="K114" s="168"/>
      <c r="L114" s="168"/>
    </row>
    <row r="115" ht="15.75" customHeight="1" spans="1:12">
      <c r="A115" s="130" t="s">
        <v>320</v>
      </c>
      <c r="B115" s="258" t="s">
        <v>470</v>
      </c>
      <c r="C115" s="63"/>
      <c r="D115" s="63"/>
      <c r="E115" s="63"/>
      <c r="F115" s="63"/>
      <c r="G115" s="71"/>
      <c r="H115" s="133"/>
      <c r="I115" s="282"/>
      <c r="J115" s="192"/>
      <c r="K115" s="168"/>
      <c r="L115" s="168"/>
    </row>
    <row r="116" ht="15.75" customHeight="1" spans="1:12">
      <c r="A116" s="144" t="s">
        <v>471</v>
      </c>
      <c r="B116" s="259" t="s">
        <v>472</v>
      </c>
      <c r="C116" s="146"/>
      <c r="D116" s="146"/>
      <c r="E116" s="146"/>
      <c r="F116" s="146"/>
      <c r="G116" s="147"/>
      <c r="H116" s="260">
        <v>0.0144</v>
      </c>
      <c r="I116" s="274">
        <f t="shared" ref="I116:I118" si="10">ROUND($I$126*H116,2)</f>
        <v>56.4</v>
      </c>
      <c r="J116" s="192"/>
      <c r="K116" s="168"/>
      <c r="L116" s="168"/>
    </row>
    <row r="117" ht="15.75" customHeight="1" spans="1:12">
      <c r="A117" s="144" t="s">
        <v>473</v>
      </c>
      <c r="B117" s="259" t="s">
        <v>373</v>
      </c>
      <c r="C117" s="146"/>
      <c r="D117" s="146"/>
      <c r="E117" s="146"/>
      <c r="F117" s="146"/>
      <c r="G117" s="147"/>
      <c r="H117" s="261">
        <v>0.0632</v>
      </c>
      <c r="I117" s="274">
        <f t="shared" si="10"/>
        <v>247.53</v>
      </c>
      <c r="J117" s="192"/>
      <c r="K117" s="168"/>
      <c r="L117" s="168"/>
    </row>
    <row r="118" ht="15.75" customHeight="1" spans="1:12">
      <c r="A118" s="144" t="s">
        <v>474</v>
      </c>
      <c r="B118" s="259" t="s">
        <v>475</v>
      </c>
      <c r="C118" s="146"/>
      <c r="D118" s="146"/>
      <c r="E118" s="146"/>
      <c r="F118" s="146"/>
      <c r="G118" s="147"/>
      <c r="H118" s="262">
        <v>0.05</v>
      </c>
      <c r="I118" s="274">
        <f t="shared" si="10"/>
        <v>195.83</v>
      </c>
      <c r="J118" s="192"/>
      <c r="K118" s="168"/>
      <c r="L118" s="168"/>
    </row>
    <row r="119" ht="15.75" customHeight="1" spans="1:12">
      <c r="A119" s="119" t="s">
        <v>476</v>
      </c>
      <c r="B119" s="63"/>
      <c r="C119" s="63"/>
      <c r="D119" s="63"/>
      <c r="E119" s="63"/>
      <c r="F119" s="63"/>
      <c r="G119" s="71"/>
      <c r="H119" s="263">
        <f t="shared" ref="H119:I119" si="11">SUM(H113:H118)</f>
        <v>0.1278</v>
      </c>
      <c r="I119" s="193">
        <f t="shared" si="11"/>
        <v>500.44</v>
      </c>
      <c r="J119" s="192"/>
      <c r="K119" s="168"/>
      <c r="L119" s="168"/>
    </row>
    <row r="120" ht="15.75" customHeight="1" spans="1:12">
      <c r="A120" s="122"/>
      <c r="I120" s="158"/>
      <c r="J120" s="192"/>
      <c r="K120" s="168"/>
      <c r="L120" s="168"/>
    </row>
    <row r="121" ht="15.75" customHeight="1" spans="1:12">
      <c r="A121" s="264" t="s">
        <v>477</v>
      </c>
      <c r="B121" s="265" t="s">
        <v>478</v>
      </c>
      <c r="H121" s="266">
        <f>SUM(H116+H117+H118)</f>
        <v>0.1276</v>
      </c>
      <c r="I121" s="283"/>
      <c r="J121" s="192"/>
      <c r="K121" s="168"/>
      <c r="L121" s="168"/>
    </row>
    <row r="122" ht="15.75" customHeight="1" spans="1:12">
      <c r="A122" s="264"/>
      <c r="B122" s="265">
        <v>100</v>
      </c>
      <c r="H122" s="266"/>
      <c r="I122" s="283"/>
      <c r="J122" s="192"/>
      <c r="K122" s="168"/>
      <c r="L122" s="168"/>
    </row>
    <row r="123" ht="15.75" customHeight="1" spans="1:12">
      <c r="A123" s="267"/>
      <c r="B123" s="268"/>
      <c r="C123" s="268"/>
      <c r="D123" s="268"/>
      <c r="E123" s="268"/>
      <c r="F123" s="268"/>
      <c r="G123" s="268"/>
      <c r="H123" s="268"/>
      <c r="I123" s="284"/>
      <c r="J123" s="192"/>
      <c r="K123" s="168"/>
      <c r="L123" s="168"/>
    </row>
    <row r="124" ht="15.75" customHeight="1" spans="1:12">
      <c r="A124" s="264" t="s">
        <v>479</v>
      </c>
      <c r="B124" s="265" t="s">
        <v>480</v>
      </c>
      <c r="H124" s="266"/>
      <c r="I124" s="283">
        <f>I110+I113+I114</f>
        <v>3416.9</v>
      </c>
      <c r="J124" s="192"/>
      <c r="K124" s="168"/>
      <c r="L124" s="168"/>
    </row>
    <row r="125" ht="15.75" customHeight="1" spans="1:12">
      <c r="A125" s="269"/>
      <c r="B125" s="270"/>
      <c r="C125" s="270"/>
      <c r="D125" s="270"/>
      <c r="E125" s="270"/>
      <c r="F125" s="270"/>
      <c r="G125" s="270"/>
      <c r="H125" s="270"/>
      <c r="I125" s="285"/>
      <c r="J125" s="192"/>
      <c r="K125" s="205"/>
      <c r="L125" s="205"/>
    </row>
    <row r="126" ht="15.75" customHeight="1" spans="1:12">
      <c r="A126" s="264" t="s">
        <v>481</v>
      </c>
      <c r="B126" s="265" t="s">
        <v>482</v>
      </c>
      <c r="H126" s="266"/>
      <c r="I126" s="283">
        <f>ROUND(I124/(1-H121),2)</f>
        <v>3916.67</v>
      </c>
      <c r="J126" s="192"/>
      <c r="K126" s="168"/>
      <c r="L126" s="168"/>
    </row>
    <row r="127" ht="15.75" customHeight="1" spans="1:12">
      <c r="A127" s="264"/>
      <c r="B127" s="265"/>
      <c r="C127" s="265"/>
      <c r="D127" s="265"/>
      <c r="E127" s="265"/>
      <c r="F127" s="265"/>
      <c r="G127" s="265"/>
      <c r="H127" s="266"/>
      <c r="I127" s="283"/>
      <c r="J127" s="192"/>
      <c r="K127" s="168"/>
      <c r="L127" s="168"/>
    </row>
    <row r="128" ht="15.75" customHeight="1" spans="1:12">
      <c r="A128" s="264"/>
      <c r="B128" s="265" t="s">
        <v>483</v>
      </c>
      <c r="H128" s="266"/>
      <c r="I128" s="283">
        <f>I126-I124</f>
        <v>499.769999999999</v>
      </c>
      <c r="J128" s="192"/>
      <c r="K128" s="168"/>
      <c r="L128" s="168"/>
    </row>
    <row r="129" ht="15.75" customHeight="1" spans="1:12">
      <c r="A129" s="119" t="s">
        <v>484</v>
      </c>
      <c r="B129" s="63"/>
      <c r="C129" s="63"/>
      <c r="D129" s="63"/>
      <c r="E129" s="63"/>
      <c r="F129" s="63"/>
      <c r="G129" s="63"/>
      <c r="H129" s="63"/>
      <c r="I129" s="71"/>
      <c r="J129" s="192"/>
      <c r="K129" s="168"/>
      <c r="L129" s="168"/>
    </row>
    <row r="130" ht="15.75" customHeight="1" spans="1:12">
      <c r="A130" s="119" t="s">
        <v>485</v>
      </c>
      <c r="B130" s="63"/>
      <c r="C130" s="63"/>
      <c r="D130" s="63"/>
      <c r="E130" s="63"/>
      <c r="F130" s="63"/>
      <c r="G130" s="63"/>
      <c r="H130" s="71"/>
      <c r="I130" s="131" t="s">
        <v>357</v>
      </c>
      <c r="J130" s="192"/>
      <c r="K130" s="168"/>
      <c r="L130" s="168"/>
    </row>
    <row r="131" ht="15.75" customHeight="1" spans="1:12">
      <c r="A131" s="120" t="s">
        <v>315</v>
      </c>
      <c r="B131" s="121" t="str">
        <f>A21</f>
        <v>MÓDULO 1 - COMPOSIÇÃO DA REMUNERAÇÃO</v>
      </c>
      <c r="C131" s="63"/>
      <c r="D131" s="63"/>
      <c r="E131" s="63"/>
      <c r="F131" s="63"/>
      <c r="G131" s="63"/>
      <c r="H131" s="71"/>
      <c r="I131" s="197">
        <f>I29</f>
        <v>1633.21</v>
      </c>
      <c r="J131" s="192"/>
      <c r="K131" s="168"/>
      <c r="L131" s="168"/>
    </row>
    <row r="132" ht="15.75" customHeight="1" spans="1:12">
      <c r="A132" s="120" t="s">
        <v>317</v>
      </c>
      <c r="B132" s="121" t="str">
        <f>A31</f>
        <v>MÓDULO 2 – ENCARGOS E BENEFÍCIOS ANUAIS, MENSAIS E DIÁRIOS</v>
      </c>
      <c r="C132" s="63"/>
      <c r="D132" s="63"/>
      <c r="E132" s="63"/>
      <c r="F132" s="63"/>
      <c r="G132" s="63"/>
      <c r="H132" s="71"/>
      <c r="I132" s="197">
        <f>I62</f>
        <v>1510.93</v>
      </c>
      <c r="J132" s="192"/>
      <c r="K132" s="168"/>
      <c r="L132" s="168"/>
    </row>
    <row r="133" ht="15.75" customHeight="1" spans="1:12">
      <c r="A133" s="120" t="s">
        <v>320</v>
      </c>
      <c r="B133" s="121" t="str">
        <f>A66</f>
        <v>MÓDULO 3 – PROVISÃO PARA RESCISÃO</v>
      </c>
      <c r="C133" s="63"/>
      <c r="D133" s="63"/>
      <c r="E133" s="63"/>
      <c r="F133" s="63"/>
      <c r="G133" s="63"/>
      <c r="H133" s="71"/>
      <c r="I133" s="197">
        <f>I73</f>
        <v>218.53</v>
      </c>
      <c r="J133" s="192"/>
      <c r="K133" s="205"/>
      <c r="L133" s="205"/>
    </row>
    <row r="134" ht="15.75" customHeight="1" spans="1:12">
      <c r="A134" s="120" t="s">
        <v>324</v>
      </c>
      <c r="B134" s="121" t="str">
        <f>A78</f>
        <v>MÓDULO 4 – CUSTO DE REPOSIÇÃO DO PROFISSIONAL AUSENTE</v>
      </c>
      <c r="C134" s="63"/>
      <c r="D134" s="63"/>
      <c r="E134" s="63"/>
      <c r="F134" s="63"/>
      <c r="G134" s="63"/>
      <c r="H134" s="71"/>
      <c r="I134" s="197">
        <f>I96</f>
        <v>52.79</v>
      </c>
      <c r="J134" s="192"/>
      <c r="K134" s="205"/>
      <c r="L134" s="205"/>
    </row>
    <row r="135" ht="15.75" customHeight="1" spans="1:12">
      <c r="A135" s="120" t="s">
        <v>367</v>
      </c>
      <c r="B135" s="121" t="str">
        <f>A98</f>
        <v>MÓDULO 5 – INSUMOS DIVERSOS</v>
      </c>
      <c r="C135" s="63"/>
      <c r="D135" s="63"/>
      <c r="E135" s="63"/>
      <c r="F135" s="63"/>
      <c r="G135" s="63"/>
      <c r="H135" s="71"/>
      <c r="I135" s="197">
        <f>I104</f>
        <v>0.76</v>
      </c>
      <c r="J135" s="295"/>
      <c r="K135" s="205"/>
      <c r="L135" s="205"/>
    </row>
    <row r="136" ht="15.75" customHeight="1" spans="1:12">
      <c r="A136" s="119" t="s">
        <v>486</v>
      </c>
      <c r="B136" s="63"/>
      <c r="C136" s="63"/>
      <c r="D136" s="63"/>
      <c r="E136" s="63"/>
      <c r="F136" s="63"/>
      <c r="G136" s="63"/>
      <c r="H136" s="71"/>
      <c r="I136" s="193">
        <f>SUM(I131:I135)</f>
        <v>3416.22</v>
      </c>
      <c r="J136" s="192"/>
      <c r="K136" s="157"/>
      <c r="L136" s="157"/>
    </row>
    <row r="137" ht="15.75" customHeight="1" spans="1:12">
      <c r="A137" s="120" t="s">
        <v>370</v>
      </c>
      <c r="B137" s="121" t="str">
        <f>A111</f>
        <v>MÓDULO 6 – CUSTOS INDIRETOS, TRIBUTOS E LUCRO</v>
      </c>
      <c r="C137" s="63"/>
      <c r="D137" s="63"/>
      <c r="E137" s="63"/>
      <c r="F137" s="63"/>
      <c r="G137" s="63"/>
      <c r="H137" s="71"/>
      <c r="I137" s="197">
        <f>I119</f>
        <v>500.44</v>
      </c>
      <c r="J137" s="192"/>
      <c r="K137" s="157"/>
      <c r="L137" s="157"/>
    </row>
    <row r="138" ht="15.75" customHeight="1" spans="1:12">
      <c r="A138" s="119" t="s">
        <v>487</v>
      </c>
      <c r="B138" s="63"/>
      <c r="C138" s="63"/>
      <c r="D138" s="63"/>
      <c r="E138" s="63"/>
      <c r="F138" s="63"/>
      <c r="G138" s="63"/>
      <c r="H138" s="71"/>
      <c r="I138" s="193">
        <f>SUM(I136:I137)</f>
        <v>3916.66</v>
      </c>
      <c r="J138" s="296">
        <f>SUM(J28:J137)</f>
        <v>2820.78589</v>
      </c>
      <c r="K138" s="157"/>
      <c r="L138" s="157"/>
    </row>
    <row r="139" ht="27" customHeight="1" spans="1:9">
      <c r="A139" s="286" t="s">
        <v>492</v>
      </c>
      <c r="B139" s="287"/>
      <c r="C139" s="287"/>
      <c r="D139" s="287"/>
      <c r="E139" s="287"/>
      <c r="F139" s="288"/>
      <c r="G139" s="289" t="s">
        <v>493</v>
      </c>
      <c r="H139" s="289"/>
      <c r="I139" s="297" t="s">
        <v>494</v>
      </c>
    </row>
    <row r="140" ht="15.75" customHeight="1" spans="1:9">
      <c r="A140" s="290">
        <f>E13</f>
        <v>3</v>
      </c>
      <c r="B140" s="291"/>
      <c r="C140" s="291"/>
      <c r="D140" s="291"/>
      <c r="E140" s="291"/>
      <c r="F140" s="292"/>
      <c r="G140" s="293">
        <f>I138</f>
        <v>3916.66</v>
      </c>
      <c r="H140" s="294"/>
      <c r="I140" s="298">
        <f>A140*G140</f>
        <v>11749.98</v>
      </c>
    </row>
    <row r="141" ht="15.75" customHeight="1" spans="9:9">
      <c r="I141" s="299"/>
    </row>
    <row r="142" ht="15.75" customHeight="1" spans="9:9">
      <c r="I142" s="299"/>
    </row>
    <row r="143" ht="15.75" customHeight="1" spans="9:9">
      <c r="I143" s="299"/>
    </row>
    <row r="144" ht="15.75" customHeight="1" spans="9:9">
      <c r="I144" s="299"/>
    </row>
    <row r="145" ht="15.75" customHeight="1" spans="9:9">
      <c r="I145" s="299"/>
    </row>
    <row r="146" ht="15.75" customHeight="1" spans="9:9">
      <c r="I146" s="299"/>
    </row>
    <row r="147" ht="15.75" customHeight="1" spans="9:9">
      <c r="I147" s="299"/>
    </row>
    <row r="148" ht="15.75" customHeight="1" spans="9:9">
      <c r="I148" s="299"/>
    </row>
    <row r="149" ht="15.75" customHeight="1" spans="9:9">
      <c r="I149" s="299"/>
    </row>
    <row r="150" ht="15.75" customHeight="1" spans="9:9">
      <c r="I150" s="299"/>
    </row>
    <row r="151" ht="15.75" customHeight="1" spans="9:9">
      <c r="I151" s="299"/>
    </row>
    <row r="152" ht="15.75" customHeight="1" spans="9:9">
      <c r="I152" s="299"/>
    </row>
    <row r="153" ht="15.75" customHeight="1" spans="9:9">
      <c r="I153" s="299"/>
    </row>
    <row r="154" ht="15.75" customHeight="1" spans="9:9">
      <c r="I154" s="299"/>
    </row>
    <row r="155" ht="15.75" customHeight="1" spans="9:9">
      <c r="I155" s="299"/>
    </row>
    <row r="156" ht="15.75" customHeight="1" spans="9:9">
      <c r="I156" s="299"/>
    </row>
    <row r="157" ht="15.75" customHeight="1" spans="9:9">
      <c r="I157" s="299"/>
    </row>
    <row r="158" ht="15.75" customHeight="1" spans="9:9">
      <c r="I158" s="299"/>
    </row>
    <row r="159" ht="15.75" customHeight="1" spans="9:9">
      <c r="I159" s="299"/>
    </row>
    <row r="160" ht="15.75" customHeight="1" spans="9:9">
      <c r="I160" s="299"/>
    </row>
    <row r="161" ht="15.75" customHeight="1" spans="9:9">
      <c r="I161" s="299"/>
    </row>
    <row r="162" ht="15.75" customHeight="1" spans="9:9">
      <c r="I162" s="299"/>
    </row>
    <row r="163" ht="15.75" customHeight="1" spans="9:9">
      <c r="I163" s="299"/>
    </row>
    <row r="164" ht="15.75" customHeight="1" spans="9:9">
      <c r="I164" s="299"/>
    </row>
    <row r="165" ht="15.75" customHeight="1" spans="9:9">
      <c r="I165" s="299"/>
    </row>
    <row r="166" ht="15.75" customHeight="1" spans="9:9">
      <c r="I166" s="299"/>
    </row>
    <row r="167" ht="15.75" customHeight="1" spans="9:9">
      <c r="I167" s="299"/>
    </row>
    <row r="168" ht="15.75" customHeight="1" spans="9:9">
      <c r="I168" s="299"/>
    </row>
    <row r="169" ht="15.75" customHeight="1" spans="9:9">
      <c r="I169" s="299"/>
    </row>
    <row r="170" ht="15.75" customHeight="1" spans="9:9">
      <c r="I170" s="299"/>
    </row>
    <row r="171" ht="15.75" customHeight="1" spans="9:9">
      <c r="I171" s="299"/>
    </row>
    <row r="172" ht="15.75" customHeight="1" spans="9:9">
      <c r="I172" s="299"/>
    </row>
    <row r="173" ht="15.75" customHeight="1" spans="9:9">
      <c r="I173" s="299"/>
    </row>
    <row r="174" ht="15.75" customHeight="1" spans="9:9">
      <c r="I174" s="299"/>
    </row>
    <row r="175" ht="15.75" customHeight="1" spans="9:9">
      <c r="I175" s="299"/>
    </row>
    <row r="176" ht="15.75" customHeight="1" spans="9:9">
      <c r="I176" s="299"/>
    </row>
    <row r="177" ht="15.75" customHeight="1" spans="9:9">
      <c r="I177" s="299"/>
    </row>
    <row r="178" ht="15.75" customHeight="1" spans="9:9">
      <c r="I178" s="299"/>
    </row>
    <row r="179" ht="15.75" customHeight="1" spans="9:9">
      <c r="I179" s="299"/>
    </row>
    <row r="180" ht="15.75" customHeight="1" spans="9:9">
      <c r="I180" s="299"/>
    </row>
    <row r="181" ht="15.75" customHeight="1" spans="9:9">
      <c r="I181" s="299"/>
    </row>
    <row r="182" ht="15.75" customHeight="1" spans="9:9">
      <c r="I182" s="299"/>
    </row>
    <row r="183" ht="15.75" customHeight="1" spans="9:9">
      <c r="I183" s="299"/>
    </row>
    <row r="184" ht="15.75" customHeight="1" spans="9:9">
      <c r="I184" s="299"/>
    </row>
    <row r="185" ht="15.75" customHeight="1" spans="9:9">
      <c r="I185" s="299"/>
    </row>
    <row r="186" ht="15.75" customHeight="1" spans="9:9">
      <c r="I186" s="299"/>
    </row>
    <row r="187" ht="15.75" customHeight="1" spans="9:9">
      <c r="I187" s="299"/>
    </row>
    <row r="188" ht="15.75" customHeight="1" spans="9:9">
      <c r="I188" s="299"/>
    </row>
    <row r="189" ht="15.75" customHeight="1" spans="9:9">
      <c r="I189" s="299"/>
    </row>
    <row r="190" ht="15.75" customHeight="1" spans="9:9">
      <c r="I190" s="299"/>
    </row>
    <row r="191" ht="15.75" customHeight="1" spans="9:9">
      <c r="I191" s="299"/>
    </row>
    <row r="192" ht="15.75" customHeight="1" spans="9:9">
      <c r="I192" s="299"/>
    </row>
    <row r="193" ht="15.75" customHeight="1" spans="9:9">
      <c r="I193" s="299"/>
    </row>
    <row r="194" ht="15.75" customHeight="1" spans="9:9">
      <c r="I194" s="299"/>
    </row>
    <row r="195" ht="15.75" customHeight="1" spans="9:9">
      <c r="I195" s="299"/>
    </row>
    <row r="196" ht="15.75" customHeight="1" spans="9:9">
      <c r="I196" s="299"/>
    </row>
    <row r="197" ht="15.75" customHeight="1" spans="9:9">
      <c r="I197" s="299"/>
    </row>
    <row r="198" ht="15.75" customHeight="1" spans="9:9">
      <c r="I198" s="299"/>
    </row>
    <row r="199" ht="15.75" customHeight="1" spans="9:9">
      <c r="I199" s="299"/>
    </row>
    <row r="200" ht="15.75" customHeight="1" spans="9:9">
      <c r="I200" s="299"/>
    </row>
    <row r="201" ht="15.75" customHeight="1" spans="9:9">
      <c r="I201" s="299"/>
    </row>
    <row r="202" ht="15.75" customHeight="1" spans="9:9">
      <c r="I202" s="299"/>
    </row>
    <row r="203" ht="15.75" customHeight="1" spans="9:9">
      <c r="I203" s="299"/>
    </row>
    <row r="204" ht="15.75" customHeight="1" spans="9:9">
      <c r="I204" s="299"/>
    </row>
    <row r="205" ht="15.75" customHeight="1" spans="9:9">
      <c r="I205" s="299"/>
    </row>
    <row r="206" ht="15.75" customHeight="1" spans="9:9">
      <c r="I206" s="299"/>
    </row>
    <row r="207" ht="15.75" customHeight="1" spans="9:9">
      <c r="I207" s="299"/>
    </row>
    <row r="208" ht="15.75" customHeight="1" spans="9:9">
      <c r="I208" s="299"/>
    </row>
    <row r="209" ht="15.75" customHeight="1" spans="9:9">
      <c r="I209" s="299"/>
    </row>
    <row r="210" ht="15.75" customHeight="1" spans="9:9">
      <c r="I210" s="299"/>
    </row>
    <row r="211" ht="15.75" customHeight="1" spans="9:9">
      <c r="I211" s="299"/>
    </row>
    <row r="212" ht="15.75" customHeight="1" spans="9:9">
      <c r="I212" s="299"/>
    </row>
    <row r="213" ht="15.75" customHeight="1" spans="9:9">
      <c r="I213" s="299"/>
    </row>
    <row r="214" ht="15.75" customHeight="1" spans="9:9">
      <c r="I214" s="299"/>
    </row>
    <row r="215" ht="15.75" customHeight="1" spans="9:9">
      <c r="I215" s="299"/>
    </row>
    <row r="216" ht="15.75" customHeight="1" spans="9:9">
      <c r="I216" s="299"/>
    </row>
    <row r="217" ht="15.75" customHeight="1" spans="9:9">
      <c r="I217" s="299"/>
    </row>
    <row r="218" ht="15.75" customHeight="1" spans="9:9">
      <c r="I218" s="299"/>
    </row>
    <row r="219" ht="15.75" customHeight="1" spans="9:9">
      <c r="I219" s="299"/>
    </row>
    <row r="220" ht="15.75" customHeight="1" spans="9:9">
      <c r="I220" s="299"/>
    </row>
    <row r="221" ht="15.75" customHeight="1" spans="9:9">
      <c r="I221" s="299"/>
    </row>
    <row r="222" ht="15.75" customHeight="1" spans="9:9">
      <c r="I222" s="299"/>
    </row>
    <row r="223" ht="15.75" customHeight="1" spans="9:9">
      <c r="I223" s="299"/>
    </row>
    <row r="224" ht="15.75" customHeight="1" spans="9:9">
      <c r="I224" s="299"/>
    </row>
    <row r="225" ht="15.75" customHeight="1" spans="9:9">
      <c r="I225" s="299"/>
    </row>
    <row r="226" ht="15.75" customHeight="1" spans="9:9">
      <c r="I226" s="299"/>
    </row>
    <row r="227" ht="15.75" customHeight="1" spans="9:9">
      <c r="I227" s="299"/>
    </row>
    <row r="228" ht="15.75" customHeight="1" spans="9:9">
      <c r="I228" s="299"/>
    </row>
    <row r="229" ht="15.75" customHeight="1" spans="9:9">
      <c r="I229" s="299"/>
    </row>
    <row r="230" ht="15.75" customHeight="1" spans="9:9">
      <c r="I230" s="299"/>
    </row>
    <row r="231" ht="15.75" customHeight="1" spans="9:9">
      <c r="I231" s="299"/>
    </row>
    <row r="232" ht="15.75" customHeight="1" spans="9:9">
      <c r="I232" s="299"/>
    </row>
    <row r="233" ht="15.75" customHeight="1" spans="9:9">
      <c r="I233" s="299"/>
    </row>
    <row r="234" ht="15.75" customHeight="1" spans="9:9">
      <c r="I234" s="299"/>
    </row>
    <row r="235" ht="15.75" customHeight="1" spans="9:9">
      <c r="I235" s="299"/>
    </row>
    <row r="236" ht="15.75" customHeight="1" spans="9:9">
      <c r="I236" s="299"/>
    </row>
    <row r="237" ht="15.75" customHeight="1" spans="9:9">
      <c r="I237" s="299"/>
    </row>
    <row r="238" ht="15.75" customHeight="1" spans="9:9">
      <c r="I238" s="299"/>
    </row>
    <row r="239" ht="15.75" customHeight="1" spans="9:9">
      <c r="I239" s="299"/>
    </row>
    <row r="240" ht="15.75" customHeight="1" spans="9:9">
      <c r="I240" s="299"/>
    </row>
    <row r="241" ht="15.75" customHeight="1" spans="9:9">
      <c r="I241" s="299"/>
    </row>
    <row r="242" ht="15.75" customHeight="1" spans="9:9">
      <c r="I242" s="299"/>
    </row>
    <row r="243" ht="15.75" customHeight="1" spans="9:9">
      <c r="I243" s="299"/>
    </row>
    <row r="244" ht="15.75" customHeight="1" spans="9:9">
      <c r="I244" s="299"/>
    </row>
    <row r="245" ht="15.75" customHeight="1" spans="9:9">
      <c r="I245" s="299"/>
    </row>
    <row r="246" ht="15.75" customHeight="1" spans="9:9">
      <c r="I246" s="299"/>
    </row>
    <row r="247" ht="15.75" customHeight="1" spans="9:9">
      <c r="I247" s="299"/>
    </row>
    <row r="248" ht="15.75" customHeight="1" spans="9:9">
      <c r="I248" s="299"/>
    </row>
    <row r="249" ht="15.75" customHeight="1" spans="9:9">
      <c r="I249" s="299"/>
    </row>
    <row r="250" ht="15.75" customHeight="1" spans="9:9">
      <c r="I250" s="299"/>
    </row>
    <row r="251" ht="15.75" customHeight="1" spans="9:9">
      <c r="I251" s="299"/>
    </row>
    <row r="252" ht="15.75" customHeight="1" spans="9:9">
      <c r="I252" s="299"/>
    </row>
    <row r="253" ht="15.75" customHeight="1" spans="9:9">
      <c r="I253" s="299"/>
    </row>
    <row r="254" ht="15.75" customHeight="1" spans="9:9">
      <c r="I254" s="299"/>
    </row>
    <row r="255" ht="15.75" customHeight="1" spans="9:9">
      <c r="I255" s="299"/>
    </row>
    <row r="256" ht="15.75" customHeight="1" spans="9:9">
      <c r="I256" s="299"/>
    </row>
    <row r="257" ht="15.75" customHeight="1" spans="9:9">
      <c r="I257" s="299"/>
    </row>
    <row r="258" ht="15.75" customHeight="1" spans="9:9">
      <c r="I258" s="299"/>
    </row>
    <row r="259" ht="15.75" customHeight="1" spans="9:9">
      <c r="I259" s="299"/>
    </row>
    <row r="260" ht="15.75" customHeight="1" spans="9:9">
      <c r="I260" s="299"/>
    </row>
    <row r="261" ht="15.75" customHeight="1" spans="9:9">
      <c r="I261" s="299"/>
    </row>
    <row r="262" ht="15.75" customHeight="1" spans="9:9">
      <c r="I262" s="299"/>
    </row>
    <row r="263" ht="15.75" customHeight="1" spans="9:9">
      <c r="I263" s="299"/>
    </row>
    <row r="264" ht="15.75" customHeight="1" spans="9:9">
      <c r="I264" s="299"/>
    </row>
    <row r="265" ht="15.75" customHeight="1" spans="9:9">
      <c r="I265" s="299"/>
    </row>
    <row r="266" ht="15.75" customHeight="1" spans="9:9">
      <c r="I266" s="299"/>
    </row>
    <row r="267" ht="15.75" customHeight="1" spans="9:9">
      <c r="I267" s="299"/>
    </row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54">
    <mergeCell ref="A1:I1"/>
    <mergeCell ref="A2:I2"/>
    <mergeCell ref="A3:G3"/>
    <mergeCell ref="H3:I3"/>
    <mergeCell ref="A4:I4"/>
    <mergeCell ref="A5:I5"/>
    <mergeCell ref="B6:H6"/>
    <mergeCell ref="B7:H7"/>
    <mergeCell ref="B8:H8"/>
    <mergeCell ref="B9:H9"/>
    <mergeCell ref="A10:I10"/>
    <mergeCell ref="A11:I11"/>
    <mergeCell ref="A12:B12"/>
    <mergeCell ref="C12:D12"/>
    <mergeCell ref="E12:I12"/>
    <mergeCell ref="A13:B13"/>
    <mergeCell ref="C13:D13"/>
    <mergeCell ref="E13:I13"/>
    <mergeCell ref="A14:I14"/>
    <mergeCell ref="B15:H15"/>
    <mergeCell ref="B16:H16"/>
    <mergeCell ref="B17:H17"/>
    <mergeCell ref="B18:H18"/>
    <mergeCell ref="B19:H19"/>
    <mergeCell ref="A20:I20"/>
    <mergeCell ref="A21:I21"/>
    <mergeCell ref="B22:G22"/>
    <mergeCell ref="B23:G23"/>
    <mergeCell ref="B24:G24"/>
    <mergeCell ref="B25:G25"/>
    <mergeCell ref="B26:G26"/>
    <mergeCell ref="B27:G27"/>
    <mergeCell ref="B28:G28"/>
    <mergeCell ref="A29:H29"/>
    <mergeCell ref="A30:I30"/>
    <mergeCell ref="A31:I31"/>
    <mergeCell ref="A32:G32"/>
    <mergeCell ref="B33:G33"/>
    <mergeCell ref="B34:G34"/>
    <mergeCell ref="A35:G35"/>
    <mergeCell ref="G36:H36"/>
    <mergeCell ref="G37:H37"/>
    <mergeCell ref="G38:H38"/>
    <mergeCell ref="A39:G39"/>
    <mergeCell ref="B40:G40"/>
    <mergeCell ref="B41:G41"/>
    <mergeCell ref="B42:G42"/>
    <mergeCell ref="B43:G43"/>
    <mergeCell ref="B44:G44"/>
    <mergeCell ref="B45:G45"/>
    <mergeCell ref="B46:G46"/>
    <mergeCell ref="B47:G47"/>
    <mergeCell ref="A48:G48"/>
    <mergeCell ref="A49:I49"/>
    <mergeCell ref="K49:L49"/>
    <mergeCell ref="A50:G50"/>
    <mergeCell ref="K50:L50"/>
    <mergeCell ref="B51:G51"/>
    <mergeCell ref="B52:G52"/>
    <mergeCell ref="B53:G53"/>
    <mergeCell ref="B54:G54"/>
    <mergeCell ref="A55:H55"/>
    <mergeCell ref="A56:I56"/>
    <mergeCell ref="A57:I57"/>
    <mergeCell ref="A58:H58"/>
    <mergeCell ref="B59:H59"/>
    <mergeCell ref="B60:H60"/>
    <mergeCell ref="B61:H61"/>
    <mergeCell ref="A62:H62"/>
    <mergeCell ref="G63:H63"/>
    <mergeCell ref="G64:H64"/>
    <mergeCell ref="G65:H65"/>
    <mergeCell ref="A66:I66"/>
    <mergeCell ref="B67:G67"/>
    <mergeCell ref="B68:G68"/>
    <mergeCell ref="B69:G69"/>
    <mergeCell ref="B70:G70"/>
    <mergeCell ref="B71:G71"/>
    <mergeCell ref="B72:G72"/>
    <mergeCell ref="A73:G73"/>
    <mergeCell ref="G74:H74"/>
    <mergeCell ref="G75:H75"/>
    <mergeCell ref="G76:H76"/>
    <mergeCell ref="G77:H77"/>
    <mergeCell ref="A78:I78"/>
    <mergeCell ref="A79:G79"/>
    <mergeCell ref="B80:G80"/>
    <mergeCell ref="B81:G81"/>
    <mergeCell ref="B82:G82"/>
    <mergeCell ref="B83:G83"/>
    <mergeCell ref="B84:G84"/>
    <mergeCell ref="B85:G85"/>
    <mergeCell ref="A86:G86"/>
    <mergeCell ref="A87:I87"/>
    <mergeCell ref="A88:G88"/>
    <mergeCell ref="B89:G89"/>
    <mergeCell ref="A90:G90"/>
    <mergeCell ref="A91:I91"/>
    <mergeCell ref="A92:I92"/>
    <mergeCell ref="A93:H93"/>
    <mergeCell ref="B94:H94"/>
    <mergeCell ref="B95:H95"/>
    <mergeCell ref="A96:H96"/>
    <mergeCell ref="A97:I97"/>
    <mergeCell ref="A98:I98"/>
    <mergeCell ref="B99:G99"/>
    <mergeCell ref="B100:G100"/>
    <mergeCell ref="B101:G101"/>
    <mergeCell ref="B102:G102"/>
    <mergeCell ref="B103:G103"/>
    <mergeCell ref="A104:G104"/>
    <mergeCell ref="G105:H105"/>
    <mergeCell ref="G106:H106"/>
    <mergeCell ref="G107:H107"/>
    <mergeCell ref="G108:H108"/>
    <mergeCell ref="G109:H109"/>
    <mergeCell ref="G110:H110"/>
    <mergeCell ref="A111:I111"/>
    <mergeCell ref="B112:G112"/>
    <mergeCell ref="B113:G113"/>
    <mergeCell ref="B114:G114"/>
    <mergeCell ref="B115:G115"/>
    <mergeCell ref="B116:G116"/>
    <mergeCell ref="B117:G117"/>
    <mergeCell ref="B118:G118"/>
    <mergeCell ref="A119:G119"/>
    <mergeCell ref="A120:I120"/>
    <mergeCell ref="B121:G121"/>
    <mergeCell ref="B122:G122"/>
    <mergeCell ref="B124:G124"/>
    <mergeCell ref="B126:G126"/>
    <mergeCell ref="B128:G128"/>
    <mergeCell ref="A129:I129"/>
    <mergeCell ref="A130:H130"/>
    <mergeCell ref="B131:H131"/>
    <mergeCell ref="B132:H132"/>
    <mergeCell ref="B133:H133"/>
    <mergeCell ref="B134:H134"/>
    <mergeCell ref="B135:H135"/>
    <mergeCell ref="A136:H136"/>
    <mergeCell ref="B137:H137"/>
    <mergeCell ref="A138:H138"/>
    <mergeCell ref="A139:F139"/>
    <mergeCell ref="G139:H139"/>
    <mergeCell ref="A140:F140"/>
    <mergeCell ref="G140:H140"/>
    <mergeCell ref="J1:J25"/>
    <mergeCell ref="K52:K54"/>
    <mergeCell ref="L52:L54"/>
    <mergeCell ref="A105:F110"/>
    <mergeCell ref="A74:F77"/>
    <mergeCell ref="A63:F65"/>
    <mergeCell ref="A36:F38"/>
    <mergeCell ref="K62:L71"/>
  </mergeCells>
  <pageMargins left="0.31496062992126" right="0.31496062992126" top="0.31496062992126" bottom="0.31496062992126" header="0" footer="0"/>
  <pageSetup paperSize="9" scale="73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"/>
  <sheetViews>
    <sheetView view="pageBreakPreview" zoomScale="90" zoomScaleNormal="100" topLeftCell="A65" workbookViewId="0">
      <selection activeCell="E52" sqref="E52"/>
    </sheetView>
  </sheetViews>
  <sheetFormatPr defaultColWidth="14.4285714285714" defaultRowHeight="15" outlineLevelCol="5"/>
  <cols>
    <col min="1" max="1" width="5.28571428571429" customWidth="1"/>
    <col min="2" max="2" width="79" customWidth="1"/>
    <col min="3" max="3" width="14.5714285714286" customWidth="1"/>
    <col min="4" max="4" width="7.71428571428571" customWidth="1"/>
    <col min="5" max="5" width="10.1428571428571" customWidth="1"/>
    <col min="6" max="6" width="13.1428571428571" customWidth="1"/>
  </cols>
  <sheetData>
    <row r="1" spans="1:6">
      <c r="A1" s="48" t="s">
        <v>495</v>
      </c>
      <c r="B1" s="42"/>
      <c r="C1" s="42"/>
      <c r="D1" s="42"/>
      <c r="E1" s="42"/>
      <c r="F1" s="43"/>
    </row>
    <row r="2" spans="1:6">
      <c r="A2" s="49"/>
      <c r="B2" s="21"/>
      <c r="C2" s="21"/>
      <c r="D2" s="21"/>
      <c r="E2" s="21"/>
      <c r="F2" s="22"/>
    </row>
    <row r="3" ht="30" spans="1:6">
      <c r="A3" s="6" t="s">
        <v>1</v>
      </c>
      <c r="B3" s="7" t="s">
        <v>2</v>
      </c>
      <c r="C3" s="7" t="s">
        <v>496</v>
      </c>
      <c r="D3" s="6" t="s">
        <v>497</v>
      </c>
      <c r="E3" s="8" t="s">
        <v>498</v>
      </c>
      <c r="F3" s="9" t="s">
        <v>499</v>
      </c>
    </row>
    <row r="4" ht="75" spans="1:6">
      <c r="A4" s="16" t="s">
        <v>500</v>
      </c>
      <c r="B4" s="14" t="s">
        <v>501</v>
      </c>
      <c r="C4" s="15" t="s">
        <v>502</v>
      </c>
      <c r="D4" s="16">
        <v>12</v>
      </c>
      <c r="E4" s="17">
        <v>22.77</v>
      </c>
      <c r="F4" s="17">
        <f t="shared" ref="F4:F32" si="0">E4*D4</f>
        <v>273.24</v>
      </c>
    </row>
    <row r="5" ht="30" spans="1:6">
      <c r="A5" s="16" t="s">
        <v>503</v>
      </c>
      <c r="B5" s="14" t="s">
        <v>504</v>
      </c>
      <c r="C5" s="15" t="s">
        <v>502</v>
      </c>
      <c r="D5" s="16">
        <v>6</v>
      </c>
      <c r="E5" s="17">
        <v>87.5</v>
      </c>
      <c r="F5" s="17">
        <f t="shared" si="0"/>
        <v>525</v>
      </c>
    </row>
    <row r="6" spans="1:6">
      <c r="A6" s="16" t="s">
        <v>505</v>
      </c>
      <c r="B6" s="14" t="s">
        <v>506</v>
      </c>
      <c r="C6" s="15" t="s">
        <v>507</v>
      </c>
      <c r="D6" s="16">
        <v>24</v>
      </c>
      <c r="E6" s="17">
        <v>11.55</v>
      </c>
      <c r="F6" s="17">
        <f t="shared" si="0"/>
        <v>277.2</v>
      </c>
    </row>
    <row r="7" ht="45" spans="1:6">
      <c r="A7" s="16" t="s">
        <v>508</v>
      </c>
      <c r="B7" s="14" t="s">
        <v>509</v>
      </c>
      <c r="C7" s="15" t="s">
        <v>507</v>
      </c>
      <c r="D7" s="16">
        <v>30</v>
      </c>
      <c r="E7" s="17">
        <v>39.87</v>
      </c>
      <c r="F7" s="17">
        <f t="shared" si="0"/>
        <v>1196.1</v>
      </c>
    </row>
    <row r="8" ht="30" spans="1:6">
      <c r="A8" s="16" t="s">
        <v>510</v>
      </c>
      <c r="B8" s="14" t="s">
        <v>511</v>
      </c>
      <c r="C8" s="15" t="s">
        <v>507</v>
      </c>
      <c r="D8" s="16">
        <v>50</v>
      </c>
      <c r="E8" s="17">
        <v>15.29</v>
      </c>
      <c r="F8" s="17">
        <f t="shared" si="0"/>
        <v>764.5</v>
      </c>
    </row>
    <row r="9" ht="30" spans="1:6">
      <c r="A9" s="16" t="s">
        <v>512</v>
      </c>
      <c r="B9" s="14" t="s">
        <v>513</v>
      </c>
      <c r="C9" s="15" t="s">
        <v>507</v>
      </c>
      <c r="D9" s="16">
        <v>200</v>
      </c>
      <c r="E9" s="17">
        <v>13.1</v>
      </c>
      <c r="F9" s="17">
        <f t="shared" si="0"/>
        <v>2620</v>
      </c>
    </row>
    <row r="10" ht="45" spans="1:6">
      <c r="A10" s="16" t="s">
        <v>514</v>
      </c>
      <c r="B10" s="14" t="s">
        <v>515</v>
      </c>
      <c r="C10" s="15" t="s">
        <v>507</v>
      </c>
      <c r="D10" s="16">
        <v>100</v>
      </c>
      <c r="E10" s="17">
        <v>2.8</v>
      </c>
      <c r="F10" s="17">
        <f t="shared" si="0"/>
        <v>280</v>
      </c>
    </row>
    <row r="11" ht="30" spans="1:6">
      <c r="A11" s="16" t="s">
        <v>516</v>
      </c>
      <c r="B11" s="14" t="s">
        <v>517</v>
      </c>
      <c r="C11" s="15" t="s">
        <v>502</v>
      </c>
      <c r="D11" s="16">
        <v>4</v>
      </c>
      <c r="E11" s="17">
        <v>90.92</v>
      </c>
      <c r="F11" s="17">
        <f t="shared" si="0"/>
        <v>363.68</v>
      </c>
    </row>
    <row r="12" ht="30" spans="1:6">
      <c r="A12" s="16" t="s">
        <v>518</v>
      </c>
      <c r="B12" s="14" t="s">
        <v>519</v>
      </c>
      <c r="C12" s="15" t="s">
        <v>507</v>
      </c>
      <c r="D12" s="16">
        <v>60</v>
      </c>
      <c r="E12" s="17">
        <v>3.02</v>
      </c>
      <c r="F12" s="17">
        <f t="shared" si="0"/>
        <v>181.2</v>
      </c>
    </row>
    <row r="13" spans="1:6">
      <c r="A13" s="16" t="s">
        <v>520</v>
      </c>
      <c r="B13" s="14" t="s">
        <v>521</v>
      </c>
      <c r="C13" s="15" t="s">
        <v>507</v>
      </c>
      <c r="D13" s="16">
        <v>10</v>
      </c>
      <c r="E13" s="17">
        <v>6.77</v>
      </c>
      <c r="F13" s="17">
        <f t="shared" si="0"/>
        <v>67.7</v>
      </c>
    </row>
    <row r="14" ht="30" spans="1:6">
      <c r="A14" s="16" t="s">
        <v>522</v>
      </c>
      <c r="B14" s="14" t="s">
        <v>523</v>
      </c>
      <c r="C14" s="15" t="s">
        <v>507</v>
      </c>
      <c r="D14" s="16">
        <v>100</v>
      </c>
      <c r="E14" s="17">
        <v>6.17</v>
      </c>
      <c r="F14" s="17">
        <f t="shared" si="0"/>
        <v>617</v>
      </c>
    </row>
    <row r="15" ht="30" spans="1:6">
      <c r="A15" s="16" t="s">
        <v>524</v>
      </c>
      <c r="B15" s="14" t="s">
        <v>525</v>
      </c>
      <c r="C15" s="15" t="s">
        <v>526</v>
      </c>
      <c r="D15" s="16">
        <v>4</v>
      </c>
      <c r="E15" s="17">
        <v>26.57</v>
      </c>
      <c r="F15" s="17">
        <f t="shared" si="0"/>
        <v>106.28</v>
      </c>
    </row>
    <row r="16" spans="1:6">
      <c r="A16" s="16" t="s">
        <v>527</v>
      </c>
      <c r="B16" s="14" t="s">
        <v>528</v>
      </c>
      <c r="C16" s="15" t="s">
        <v>507</v>
      </c>
      <c r="D16" s="16">
        <v>15</v>
      </c>
      <c r="E16" s="17">
        <v>7.95</v>
      </c>
      <c r="F16" s="17">
        <f t="shared" si="0"/>
        <v>119.25</v>
      </c>
    </row>
    <row r="17" ht="30" spans="1:6">
      <c r="A17" s="16" t="s">
        <v>529</v>
      </c>
      <c r="B17" s="14" t="s">
        <v>530</v>
      </c>
      <c r="C17" s="15" t="s">
        <v>531</v>
      </c>
      <c r="D17" s="16">
        <v>200</v>
      </c>
      <c r="E17" s="17">
        <v>13.43</v>
      </c>
      <c r="F17" s="17">
        <f t="shared" si="0"/>
        <v>2686</v>
      </c>
    </row>
    <row r="18" ht="45" spans="1:6">
      <c r="A18" s="16" t="s">
        <v>532</v>
      </c>
      <c r="B18" s="14" t="s">
        <v>533</v>
      </c>
      <c r="C18" s="15" t="s">
        <v>534</v>
      </c>
      <c r="D18" s="16">
        <v>30</v>
      </c>
      <c r="E18" s="17">
        <v>75.18</v>
      </c>
      <c r="F18" s="17">
        <f t="shared" si="0"/>
        <v>2255.4</v>
      </c>
    </row>
    <row r="19" ht="30" spans="1:6">
      <c r="A19" s="16" t="s">
        <v>535</v>
      </c>
      <c r="B19" s="14" t="s">
        <v>536</v>
      </c>
      <c r="C19" s="15" t="s">
        <v>537</v>
      </c>
      <c r="D19" s="15">
        <v>2</v>
      </c>
      <c r="E19" s="89">
        <v>196.49</v>
      </c>
      <c r="F19" s="17">
        <f t="shared" si="0"/>
        <v>392.98</v>
      </c>
    </row>
    <row r="20" ht="45" spans="1:6">
      <c r="A20" s="16" t="s">
        <v>538</v>
      </c>
      <c r="B20" s="14" t="s">
        <v>539</v>
      </c>
      <c r="C20" s="15" t="s">
        <v>540</v>
      </c>
      <c r="D20" s="16">
        <v>8</v>
      </c>
      <c r="E20" s="17">
        <v>25.1</v>
      </c>
      <c r="F20" s="17">
        <f t="shared" si="0"/>
        <v>200.8</v>
      </c>
    </row>
    <row r="21" spans="1:6">
      <c r="A21" s="16" t="s">
        <v>541</v>
      </c>
      <c r="B21" s="14" t="s">
        <v>542</v>
      </c>
      <c r="C21" s="15" t="s">
        <v>543</v>
      </c>
      <c r="D21" s="16">
        <v>60</v>
      </c>
      <c r="E21" s="17">
        <v>5.11</v>
      </c>
      <c r="F21" s="17">
        <f t="shared" si="0"/>
        <v>306.6</v>
      </c>
    </row>
    <row r="22" ht="30" spans="1:6">
      <c r="A22" s="16" t="s">
        <v>544</v>
      </c>
      <c r="B22" s="14" t="s">
        <v>545</v>
      </c>
      <c r="C22" s="15" t="s">
        <v>546</v>
      </c>
      <c r="D22" s="16">
        <v>4</v>
      </c>
      <c r="E22" s="17">
        <v>14.58</v>
      </c>
      <c r="F22" s="17">
        <f t="shared" si="0"/>
        <v>58.32</v>
      </c>
    </row>
    <row r="23" ht="30" spans="1:6">
      <c r="A23" s="16">
        <v>20</v>
      </c>
      <c r="B23" s="14" t="s">
        <v>547</v>
      </c>
      <c r="C23" s="15" t="s">
        <v>548</v>
      </c>
      <c r="D23" s="16">
        <v>30</v>
      </c>
      <c r="E23" s="17">
        <v>17.95</v>
      </c>
      <c r="F23" s="17">
        <f t="shared" si="0"/>
        <v>538.5</v>
      </c>
    </row>
    <row r="24" ht="30" spans="1:6">
      <c r="A24" s="16">
        <v>21</v>
      </c>
      <c r="B24" s="14" t="s">
        <v>549</v>
      </c>
      <c r="C24" s="15" t="s">
        <v>548</v>
      </c>
      <c r="D24" s="16">
        <v>15</v>
      </c>
      <c r="E24" s="17">
        <v>18.25</v>
      </c>
      <c r="F24" s="17">
        <f t="shared" si="0"/>
        <v>273.75</v>
      </c>
    </row>
    <row r="25" ht="30" spans="1:6">
      <c r="A25" s="16">
        <v>22</v>
      </c>
      <c r="B25" s="14" t="s">
        <v>550</v>
      </c>
      <c r="C25" s="15" t="s">
        <v>548</v>
      </c>
      <c r="D25" s="16">
        <v>30</v>
      </c>
      <c r="E25" s="17">
        <v>52.15</v>
      </c>
      <c r="F25" s="17">
        <f t="shared" si="0"/>
        <v>1564.5</v>
      </c>
    </row>
    <row r="26" ht="30" spans="1:6">
      <c r="A26" s="16">
        <v>23</v>
      </c>
      <c r="B26" s="14" t="s">
        <v>551</v>
      </c>
      <c r="C26" s="15" t="s">
        <v>502</v>
      </c>
      <c r="D26" s="16">
        <v>4</v>
      </c>
      <c r="E26" s="17">
        <v>75.7</v>
      </c>
      <c r="F26" s="17">
        <f t="shared" si="0"/>
        <v>302.8</v>
      </c>
    </row>
    <row r="27" ht="30" spans="1:6">
      <c r="A27" s="16">
        <v>24</v>
      </c>
      <c r="B27" s="14" t="s">
        <v>552</v>
      </c>
      <c r="C27" s="15" t="s">
        <v>553</v>
      </c>
      <c r="D27" s="16">
        <v>2</v>
      </c>
      <c r="E27" s="17">
        <v>31.2</v>
      </c>
      <c r="F27" s="17">
        <f t="shared" si="0"/>
        <v>62.4</v>
      </c>
    </row>
    <row r="28" ht="30" spans="1:6">
      <c r="A28" s="16">
        <v>25</v>
      </c>
      <c r="B28" s="14" t="s">
        <v>554</v>
      </c>
      <c r="C28" s="15" t="s">
        <v>555</v>
      </c>
      <c r="D28" s="16">
        <v>6</v>
      </c>
      <c r="E28" s="17">
        <v>52.22</v>
      </c>
      <c r="F28" s="17">
        <f t="shared" si="0"/>
        <v>313.32</v>
      </c>
    </row>
    <row r="29" spans="1:6">
      <c r="A29" s="16">
        <v>26</v>
      </c>
      <c r="B29" s="14" t="s">
        <v>556</v>
      </c>
      <c r="C29" s="15" t="s">
        <v>507</v>
      </c>
      <c r="D29" s="16">
        <v>2</v>
      </c>
      <c r="E29" s="17">
        <v>48.65</v>
      </c>
      <c r="F29" s="17">
        <f t="shared" si="0"/>
        <v>97.3</v>
      </c>
    </row>
    <row r="30" spans="1:6">
      <c r="A30" s="16">
        <v>27</v>
      </c>
      <c r="B30" s="14" t="s">
        <v>557</v>
      </c>
      <c r="C30" s="15" t="s">
        <v>507</v>
      </c>
      <c r="D30" s="16">
        <v>3</v>
      </c>
      <c r="E30" s="17">
        <v>12.2</v>
      </c>
      <c r="F30" s="17">
        <f t="shared" si="0"/>
        <v>36.6</v>
      </c>
    </row>
    <row r="31" spans="1:6">
      <c r="A31" s="10">
        <v>28</v>
      </c>
      <c r="B31" s="14" t="s">
        <v>558</v>
      </c>
      <c r="C31" s="12" t="s">
        <v>507</v>
      </c>
      <c r="D31" s="10">
        <v>12</v>
      </c>
      <c r="E31" s="13">
        <v>29.48</v>
      </c>
      <c r="F31" s="17">
        <f t="shared" si="0"/>
        <v>353.76</v>
      </c>
    </row>
    <row r="32" spans="1:6">
      <c r="A32" s="90">
        <v>29</v>
      </c>
      <c r="B32" s="4" t="s">
        <v>559</v>
      </c>
      <c r="C32" s="12" t="s">
        <v>507</v>
      </c>
      <c r="D32" s="91">
        <v>2</v>
      </c>
      <c r="E32" s="92">
        <v>7.15</v>
      </c>
      <c r="F32" s="17">
        <f t="shared" si="0"/>
        <v>14.3</v>
      </c>
    </row>
    <row r="33" spans="1:6">
      <c r="A33" s="90">
        <v>30</v>
      </c>
      <c r="B33" s="93" t="s">
        <v>560</v>
      </c>
      <c r="C33" s="94" t="s">
        <v>507</v>
      </c>
      <c r="D33" s="91">
        <v>5</v>
      </c>
      <c r="E33" s="92">
        <v>11.88</v>
      </c>
      <c r="F33" s="17">
        <f t="shared" ref="F33:F40" si="1">E33*D33</f>
        <v>59.4</v>
      </c>
    </row>
    <row r="34" spans="1:6">
      <c r="A34" s="90">
        <v>31</v>
      </c>
      <c r="B34" s="93" t="s">
        <v>561</v>
      </c>
      <c r="C34" s="94" t="s">
        <v>507</v>
      </c>
      <c r="D34" s="91">
        <v>2</v>
      </c>
      <c r="E34" s="92">
        <v>27.29</v>
      </c>
      <c r="F34" s="17">
        <f t="shared" si="1"/>
        <v>54.58</v>
      </c>
    </row>
    <row r="35" spans="1:6">
      <c r="A35" s="90">
        <v>32</v>
      </c>
      <c r="B35" s="93" t="s">
        <v>562</v>
      </c>
      <c r="C35" s="94" t="s">
        <v>507</v>
      </c>
      <c r="D35" s="91">
        <v>3</v>
      </c>
      <c r="E35" s="92">
        <v>12.31</v>
      </c>
      <c r="F35" s="17">
        <f t="shared" si="1"/>
        <v>36.93</v>
      </c>
    </row>
    <row r="36" ht="30" spans="1:6">
      <c r="A36" s="90">
        <v>33</v>
      </c>
      <c r="B36" s="95" t="s">
        <v>563</v>
      </c>
      <c r="C36" s="94" t="s">
        <v>507</v>
      </c>
      <c r="D36" s="91">
        <v>2</v>
      </c>
      <c r="E36" s="96">
        <v>7.26</v>
      </c>
      <c r="F36" s="17">
        <f t="shared" si="1"/>
        <v>14.52</v>
      </c>
    </row>
    <row r="37" spans="1:6">
      <c r="A37" s="90">
        <v>34</v>
      </c>
      <c r="B37" s="95" t="s">
        <v>564</v>
      </c>
      <c r="C37" s="94" t="s">
        <v>507</v>
      </c>
      <c r="D37" s="97">
        <v>1</v>
      </c>
      <c r="E37" s="92">
        <v>6.21</v>
      </c>
      <c r="F37" s="17">
        <f t="shared" si="1"/>
        <v>6.21</v>
      </c>
    </row>
    <row r="38" spans="1:6">
      <c r="A38" s="98">
        <v>35</v>
      </c>
      <c r="B38" s="93" t="s">
        <v>565</v>
      </c>
      <c r="C38" s="94" t="s">
        <v>507</v>
      </c>
      <c r="D38" s="91">
        <v>2</v>
      </c>
      <c r="E38" s="92">
        <v>8.24</v>
      </c>
      <c r="F38" s="17">
        <f t="shared" si="1"/>
        <v>16.48</v>
      </c>
    </row>
    <row r="39" ht="30" spans="1:6">
      <c r="A39" s="98">
        <v>36</v>
      </c>
      <c r="B39" s="95" t="s">
        <v>566</v>
      </c>
      <c r="C39" s="94" t="s">
        <v>507</v>
      </c>
      <c r="D39" s="91">
        <v>24</v>
      </c>
      <c r="E39" s="92">
        <v>17.65</v>
      </c>
      <c r="F39" s="17">
        <f t="shared" si="1"/>
        <v>423.6</v>
      </c>
    </row>
    <row r="40" spans="1:6">
      <c r="A40" s="98">
        <v>37</v>
      </c>
      <c r="B40" s="93" t="s">
        <v>567</v>
      </c>
      <c r="C40" s="99" t="s">
        <v>507</v>
      </c>
      <c r="D40" s="91">
        <v>1</v>
      </c>
      <c r="E40" s="92">
        <v>18.54</v>
      </c>
      <c r="F40" s="17">
        <f t="shared" si="1"/>
        <v>18.54</v>
      </c>
    </row>
    <row r="41" spans="1:6">
      <c r="A41" s="100" t="s">
        <v>499</v>
      </c>
      <c r="B41" s="4"/>
      <c r="C41" s="21"/>
      <c r="D41" s="21"/>
      <c r="E41" s="22"/>
      <c r="F41" s="101">
        <f>SUM(F4:F40)</f>
        <v>17478.74</v>
      </c>
    </row>
    <row r="42" spans="1:6">
      <c r="A42" s="3" t="s">
        <v>568</v>
      </c>
      <c r="B42" s="4"/>
      <c r="C42" s="4"/>
      <c r="D42" s="4"/>
      <c r="E42" s="5"/>
      <c r="F42" s="6">
        <v>31</v>
      </c>
    </row>
    <row r="43" spans="1:6">
      <c r="A43" s="3" t="s">
        <v>569</v>
      </c>
      <c r="B43" s="4"/>
      <c r="C43" s="4"/>
      <c r="D43" s="4"/>
      <c r="E43" s="5"/>
      <c r="F43" s="57">
        <f>ROUND(F41/F42,2)</f>
        <v>563.83</v>
      </c>
    </row>
    <row r="44" spans="2:6">
      <c r="B44" s="102"/>
      <c r="E44" s="33"/>
      <c r="F44" s="33"/>
    </row>
    <row r="45" spans="1:6">
      <c r="A45" s="48" t="s">
        <v>570</v>
      </c>
      <c r="B45" s="42"/>
      <c r="C45" s="42"/>
      <c r="D45" s="42"/>
      <c r="E45" s="42"/>
      <c r="F45" s="43"/>
    </row>
    <row r="46" spans="1:6">
      <c r="A46" s="49"/>
      <c r="B46" s="21"/>
      <c r="C46" s="21"/>
      <c r="D46" s="21"/>
      <c r="E46" s="21"/>
      <c r="F46" s="22"/>
    </row>
    <row r="47" s="88" customFormat="1" spans="1:6">
      <c r="A47" s="50" t="s">
        <v>571</v>
      </c>
      <c r="B47" s="51"/>
      <c r="C47" s="51"/>
      <c r="D47" s="51"/>
      <c r="E47" s="51"/>
      <c r="F47" s="52"/>
    </row>
    <row r="48" ht="30" spans="1:6">
      <c r="A48" s="6" t="s">
        <v>1</v>
      </c>
      <c r="B48" s="7" t="s">
        <v>2</v>
      </c>
      <c r="C48" s="7" t="s">
        <v>496</v>
      </c>
      <c r="D48" s="6" t="s">
        <v>497</v>
      </c>
      <c r="E48" s="8" t="s">
        <v>498</v>
      </c>
      <c r="F48" s="9" t="s">
        <v>499</v>
      </c>
    </row>
    <row r="49" spans="1:6">
      <c r="A49" s="16" t="s">
        <v>500</v>
      </c>
      <c r="B49" s="14" t="s">
        <v>572</v>
      </c>
      <c r="C49" s="15" t="s">
        <v>507</v>
      </c>
      <c r="D49" s="16">
        <v>6</v>
      </c>
      <c r="E49" s="17">
        <v>40.65</v>
      </c>
      <c r="F49" s="17">
        <f t="shared" ref="F49:F59" si="2">E49*D49</f>
        <v>243.9</v>
      </c>
    </row>
    <row r="50" spans="1:6">
      <c r="A50" s="16" t="s">
        <v>503</v>
      </c>
      <c r="B50" s="14" t="s">
        <v>573</v>
      </c>
      <c r="C50" s="15" t="s">
        <v>507</v>
      </c>
      <c r="D50" s="16">
        <v>6</v>
      </c>
      <c r="E50" s="17">
        <v>29.63</v>
      </c>
      <c r="F50" s="17">
        <f t="shared" si="2"/>
        <v>177.78</v>
      </c>
    </row>
    <row r="51" spans="1:6">
      <c r="A51" s="16" t="s">
        <v>505</v>
      </c>
      <c r="B51" s="14" t="s">
        <v>574</v>
      </c>
      <c r="C51" s="15" t="s">
        <v>507</v>
      </c>
      <c r="D51" s="16">
        <v>6</v>
      </c>
      <c r="E51" s="17">
        <v>29.53</v>
      </c>
      <c r="F51" s="17">
        <f t="shared" si="2"/>
        <v>177.18</v>
      </c>
    </row>
    <row r="52" spans="1:6">
      <c r="A52" s="16" t="s">
        <v>508</v>
      </c>
      <c r="B52" s="14" t="s">
        <v>575</v>
      </c>
      <c r="C52" s="15" t="s">
        <v>507</v>
      </c>
      <c r="D52" s="16">
        <v>6</v>
      </c>
      <c r="E52" s="17">
        <v>149.95</v>
      </c>
      <c r="F52" s="17">
        <f t="shared" si="2"/>
        <v>899.7</v>
      </c>
    </row>
    <row r="53" spans="1:6">
      <c r="A53" s="16" t="s">
        <v>510</v>
      </c>
      <c r="B53" s="14" t="s">
        <v>576</v>
      </c>
      <c r="C53" s="15" t="s">
        <v>507</v>
      </c>
      <c r="D53" s="16">
        <v>6</v>
      </c>
      <c r="E53" s="17">
        <v>118.49</v>
      </c>
      <c r="F53" s="17">
        <f t="shared" si="2"/>
        <v>710.94</v>
      </c>
    </row>
    <row r="54" spans="1:6">
      <c r="A54" s="16" t="s">
        <v>512</v>
      </c>
      <c r="B54" s="14" t="s">
        <v>577</v>
      </c>
      <c r="C54" s="15" t="s">
        <v>507</v>
      </c>
      <c r="D54" s="16">
        <v>3</v>
      </c>
      <c r="E54" s="17">
        <v>4.71</v>
      </c>
      <c r="F54" s="17">
        <f t="shared" si="2"/>
        <v>14.13</v>
      </c>
    </row>
    <row r="55" spans="1:6">
      <c r="A55" s="16" t="s">
        <v>514</v>
      </c>
      <c r="B55" s="14" t="s">
        <v>578</v>
      </c>
      <c r="C55" s="15" t="s">
        <v>507</v>
      </c>
      <c r="D55" s="16">
        <v>3</v>
      </c>
      <c r="E55" s="17">
        <v>5.02</v>
      </c>
      <c r="F55" s="17">
        <f t="shared" si="2"/>
        <v>15.06</v>
      </c>
    </row>
    <row r="56" ht="30" spans="1:6">
      <c r="A56" s="16" t="s">
        <v>516</v>
      </c>
      <c r="B56" s="14" t="s">
        <v>579</v>
      </c>
      <c r="C56" s="15" t="s">
        <v>507</v>
      </c>
      <c r="D56" s="16">
        <v>4</v>
      </c>
      <c r="E56" s="17">
        <v>40.8</v>
      </c>
      <c r="F56" s="17">
        <f t="shared" si="2"/>
        <v>163.2</v>
      </c>
    </row>
    <row r="57" spans="1:6">
      <c r="A57" s="16" t="s">
        <v>518</v>
      </c>
      <c r="B57" s="14" t="s">
        <v>580</v>
      </c>
      <c r="C57" s="15" t="s">
        <v>507</v>
      </c>
      <c r="D57" s="16">
        <v>3</v>
      </c>
      <c r="E57" s="17">
        <v>14.26</v>
      </c>
      <c r="F57" s="17">
        <f t="shared" si="2"/>
        <v>42.78</v>
      </c>
    </row>
    <row r="58" spans="1:6">
      <c r="A58" s="38" t="s">
        <v>522</v>
      </c>
      <c r="B58" s="37" t="s">
        <v>581</v>
      </c>
      <c r="C58" s="103" t="s">
        <v>507</v>
      </c>
      <c r="D58" s="38">
        <v>12</v>
      </c>
      <c r="E58" s="92">
        <v>21.08</v>
      </c>
      <c r="F58" s="92">
        <f t="shared" si="2"/>
        <v>252.96</v>
      </c>
    </row>
    <row r="59" ht="30" spans="1:6">
      <c r="A59" s="16">
        <v>20</v>
      </c>
      <c r="B59" s="14" t="s">
        <v>582</v>
      </c>
      <c r="C59" s="15" t="s">
        <v>507</v>
      </c>
      <c r="D59" s="16">
        <v>3</v>
      </c>
      <c r="E59" s="17">
        <v>33.69</v>
      </c>
      <c r="F59" s="17">
        <f t="shared" si="2"/>
        <v>101.07</v>
      </c>
    </row>
    <row r="60" spans="1:6">
      <c r="A60" s="3" t="s">
        <v>499</v>
      </c>
      <c r="B60" s="4"/>
      <c r="C60" s="4"/>
      <c r="D60" s="4"/>
      <c r="E60" s="5"/>
      <c r="F60" s="57">
        <f>SUM(F49:F59)</f>
        <v>2798.7</v>
      </c>
    </row>
    <row r="61" spans="1:6">
      <c r="A61" s="3" t="s">
        <v>568</v>
      </c>
      <c r="B61" s="4"/>
      <c r="C61" s="4"/>
      <c r="D61" s="4"/>
      <c r="E61" s="5"/>
      <c r="F61" s="6">
        <v>31</v>
      </c>
    </row>
    <row r="62" spans="1:6">
      <c r="A62" s="3" t="s">
        <v>569</v>
      </c>
      <c r="B62" s="4"/>
      <c r="C62" s="4"/>
      <c r="D62" s="4"/>
      <c r="E62" s="5"/>
      <c r="F62" s="57">
        <f>ROUND((F60/F61)/12,2)</f>
        <v>7.52</v>
      </c>
    </row>
    <row r="63" spans="1:6">
      <c r="A63" s="104"/>
      <c r="B63" s="105"/>
      <c r="C63" s="105"/>
      <c r="D63" s="105"/>
      <c r="E63" s="105"/>
      <c r="F63" s="106"/>
    </row>
    <row r="64" spans="1:6">
      <c r="A64" s="50" t="s">
        <v>583</v>
      </c>
      <c r="B64" s="51"/>
      <c r="C64" s="51"/>
      <c r="D64" s="51"/>
      <c r="E64" s="51"/>
      <c r="F64" s="52"/>
    </row>
    <row r="65" ht="30" spans="1:6">
      <c r="A65" s="6" t="s">
        <v>1</v>
      </c>
      <c r="B65" s="7" t="s">
        <v>2</v>
      </c>
      <c r="C65" s="7" t="s">
        <v>496</v>
      </c>
      <c r="D65" s="6" t="s">
        <v>497</v>
      </c>
      <c r="E65" s="8" t="s">
        <v>498</v>
      </c>
      <c r="F65" s="9" t="s">
        <v>499</v>
      </c>
    </row>
    <row r="66" spans="1:6">
      <c r="A66" s="16">
        <v>1</v>
      </c>
      <c r="B66" s="14" t="s">
        <v>584</v>
      </c>
      <c r="C66" s="15" t="s">
        <v>507</v>
      </c>
      <c r="D66" s="16">
        <v>6</v>
      </c>
      <c r="E66" s="17">
        <v>208.97</v>
      </c>
      <c r="F66" s="17">
        <f>E66*D66</f>
        <v>1253.82</v>
      </c>
    </row>
    <row r="67" ht="60" spans="1:6">
      <c r="A67" s="16">
        <v>2</v>
      </c>
      <c r="B67" s="14" t="s">
        <v>585</v>
      </c>
      <c r="C67" s="15" t="s">
        <v>507</v>
      </c>
      <c r="D67" s="16">
        <v>10</v>
      </c>
      <c r="E67" s="17">
        <v>27.63</v>
      </c>
      <c r="F67" s="17">
        <f>E67*D67</f>
        <v>276.3</v>
      </c>
    </row>
    <row r="68" ht="45" spans="1:6">
      <c r="A68" s="16">
        <v>3</v>
      </c>
      <c r="B68" s="14" t="s">
        <v>586</v>
      </c>
      <c r="C68" s="15" t="s">
        <v>507</v>
      </c>
      <c r="D68" s="16">
        <v>5</v>
      </c>
      <c r="E68" s="17">
        <v>25.14</v>
      </c>
      <c r="F68" s="17">
        <f>E68*D68</f>
        <v>125.7</v>
      </c>
    </row>
    <row r="69" spans="1:6">
      <c r="A69" s="16">
        <v>4</v>
      </c>
      <c r="B69" s="14" t="s">
        <v>587</v>
      </c>
      <c r="C69" s="15" t="s">
        <v>588</v>
      </c>
      <c r="D69" s="16">
        <v>6</v>
      </c>
      <c r="E69" s="17">
        <v>10.61</v>
      </c>
      <c r="F69" s="17">
        <f>E69*D69</f>
        <v>63.66</v>
      </c>
    </row>
    <row r="70" spans="1:6">
      <c r="A70" s="16">
        <v>5</v>
      </c>
      <c r="B70" s="14" t="s">
        <v>589</v>
      </c>
      <c r="C70" s="15" t="s">
        <v>507</v>
      </c>
      <c r="D70" s="16">
        <v>5</v>
      </c>
      <c r="E70" s="17">
        <v>29.51</v>
      </c>
      <c r="F70" s="17">
        <f>E70*D70</f>
        <v>147.55</v>
      </c>
    </row>
    <row r="71" spans="1:6">
      <c r="A71" s="107">
        <v>6</v>
      </c>
      <c r="B71" s="108" t="s">
        <v>590</v>
      </c>
      <c r="C71" s="109" t="s">
        <v>507</v>
      </c>
      <c r="D71" s="107">
        <v>1</v>
      </c>
      <c r="E71" s="110"/>
      <c r="F71" s="110"/>
    </row>
    <row r="72" spans="1:6">
      <c r="A72" s="111" t="s">
        <v>591</v>
      </c>
      <c r="B72" s="14" t="s">
        <v>592</v>
      </c>
      <c r="C72" s="15" t="s">
        <v>507</v>
      </c>
      <c r="D72" s="16">
        <v>2</v>
      </c>
      <c r="E72" s="17">
        <v>30.11</v>
      </c>
      <c r="F72" s="17">
        <f>E72*D72</f>
        <v>60.22</v>
      </c>
    </row>
    <row r="73" spans="1:6">
      <c r="A73" s="3" t="s">
        <v>499</v>
      </c>
      <c r="B73" s="4"/>
      <c r="C73" s="4"/>
      <c r="D73" s="4"/>
      <c r="E73" s="5"/>
      <c r="F73" s="57">
        <f>SUM(F66:F72)</f>
        <v>1927.25</v>
      </c>
    </row>
    <row r="74" spans="1:6">
      <c r="A74" s="3" t="s">
        <v>568</v>
      </c>
      <c r="B74" s="4"/>
      <c r="C74" s="4"/>
      <c r="D74" s="4"/>
      <c r="E74" s="5"/>
      <c r="F74" s="6">
        <v>7</v>
      </c>
    </row>
    <row r="75" spans="1:6">
      <c r="A75" s="3" t="s">
        <v>569</v>
      </c>
      <c r="B75" s="4"/>
      <c r="C75" s="4"/>
      <c r="D75" s="4"/>
      <c r="E75" s="5"/>
      <c r="F75" s="57">
        <f>ROUND((F73/F74)/12,2)</f>
        <v>22.94</v>
      </c>
    </row>
    <row r="76" spans="1:6">
      <c r="A76" s="50" t="s">
        <v>490</v>
      </c>
      <c r="B76" s="51"/>
      <c r="C76" s="51"/>
      <c r="D76" s="51"/>
      <c r="E76" s="51"/>
      <c r="F76" s="52"/>
    </row>
    <row r="77" ht="30" spans="1:6">
      <c r="A77" s="6" t="s">
        <v>1</v>
      </c>
      <c r="B77" s="7" t="s">
        <v>2</v>
      </c>
      <c r="C77" s="7" t="s">
        <v>496</v>
      </c>
      <c r="D77" s="6" t="s">
        <v>497</v>
      </c>
      <c r="E77" s="8" t="s">
        <v>498</v>
      </c>
      <c r="F77" s="9" t="s">
        <v>499</v>
      </c>
    </row>
    <row r="78" spans="1:6">
      <c r="A78" s="16">
        <v>1</v>
      </c>
      <c r="B78" s="14" t="s">
        <v>593</v>
      </c>
      <c r="C78" s="15" t="s">
        <v>594</v>
      </c>
      <c r="D78" s="16">
        <v>10</v>
      </c>
      <c r="E78" s="17">
        <v>82.52</v>
      </c>
      <c r="F78" s="17">
        <f t="shared" ref="F78" si="3">E78*D78</f>
        <v>825.2</v>
      </c>
    </row>
    <row r="79" spans="1:6">
      <c r="A79" s="3" t="s">
        <v>499</v>
      </c>
      <c r="B79" s="4"/>
      <c r="C79" s="4"/>
      <c r="D79" s="4"/>
      <c r="E79" s="5"/>
      <c r="F79" s="57">
        <f>SUM(F78:F78)</f>
        <v>825.2</v>
      </c>
    </row>
    <row r="80" spans="1:6">
      <c r="A80" s="3" t="s">
        <v>568</v>
      </c>
      <c r="B80" s="4"/>
      <c r="C80" s="4"/>
      <c r="D80" s="4"/>
      <c r="E80" s="5"/>
      <c r="F80" s="6">
        <v>3</v>
      </c>
    </row>
    <row r="81" spans="1:6">
      <c r="A81" s="3" t="s">
        <v>569</v>
      </c>
      <c r="B81" s="4"/>
      <c r="C81" s="4"/>
      <c r="D81" s="4"/>
      <c r="E81" s="5"/>
      <c r="F81" s="57">
        <f>ROUND((F79/F80)/12,2)</f>
        <v>22.92</v>
      </c>
    </row>
    <row r="82" s="88" customFormat="1" spans="1:6">
      <c r="A82" s="112"/>
      <c r="B82" s="113"/>
      <c r="C82" s="112"/>
      <c r="D82" s="112"/>
      <c r="E82" s="114"/>
      <c r="F82" s="114"/>
    </row>
    <row r="83" spans="1:6">
      <c r="A83" s="3" t="s">
        <v>595</v>
      </c>
      <c r="B83" s="4"/>
      <c r="C83" s="4"/>
      <c r="D83" s="4"/>
      <c r="E83" s="5"/>
      <c r="F83" s="57">
        <f>F43+F62</f>
        <v>571.35</v>
      </c>
    </row>
    <row r="84" spans="1:6">
      <c r="A84" s="3" t="s">
        <v>596</v>
      </c>
      <c r="B84" s="4"/>
      <c r="C84" s="4"/>
      <c r="D84" s="4"/>
      <c r="E84" s="5"/>
      <c r="F84" s="57">
        <f>F75</f>
        <v>22.94</v>
      </c>
    </row>
    <row r="85" spans="1:6">
      <c r="A85" s="3" t="s">
        <v>597</v>
      </c>
      <c r="B85" s="4"/>
      <c r="C85" s="4"/>
      <c r="D85" s="4"/>
      <c r="E85" s="5"/>
      <c r="F85" s="57">
        <f>F81</f>
        <v>22.92</v>
      </c>
    </row>
    <row r="92" spans="2:6">
      <c r="B92" s="102"/>
      <c r="E92" s="33"/>
      <c r="F92" s="33"/>
    </row>
    <row r="93" spans="2:6">
      <c r="B93" s="102"/>
      <c r="E93" s="33"/>
      <c r="F93" s="33"/>
    </row>
    <row r="94" spans="2:6">
      <c r="B94" s="102"/>
      <c r="E94" s="33"/>
      <c r="F94" s="33"/>
    </row>
    <row r="95" spans="2:6">
      <c r="B95" s="102"/>
      <c r="E95" s="33"/>
      <c r="F95" s="33"/>
    </row>
    <row r="96" spans="2:6">
      <c r="B96" s="102"/>
      <c r="E96" s="33"/>
      <c r="F96" s="33"/>
    </row>
    <row r="97" spans="2:6">
      <c r="B97" s="102"/>
      <c r="E97" s="33"/>
      <c r="F97" s="33"/>
    </row>
    <row r="98" spans="2:6">
      <c r="B98" s="102"/>
      <c r="E98" s="33"/>
      <c r="F98" s="33"/>
    </row>
    <row r="99" spans="2:6">
      <c r="B99" s="102"/>
      <c r="E99" s="33"/>
      <c r="F99" s="33"/>
    </row>
    <row r="100" spans="2:6">
      <c r="B100" s="102"/>
      <c r="E100" s="33"/>
      <c r="F100" s="33"/>
    </row>
    <row r="101" spans="2:6">
      <c r="B101" s="102"/>
      <c r="E101" s="33"/>
      <c r="F101" s="33"/>
    </row>
    <row r="102" spans="2:6">
      <c r="B102" s="102"/>
      <c r="E102" s="33"/>
      <c r="F102" s="33"/>
    </row>
    <row r="103" spans="2:6">
      <c r="B103" s="102"/>
      <c r="E103" s="33"/>
      <c r="F103" s="33"/>
    </row>
    <row r="104" spans="2:6">
      <c r="B104" s="102"/>
      <c r="E104" s="33"/>
      <c r="F104" s="33"/>
    </row>
    <row r="105" spans="2:6">
      <c r="B105" s="102"/>
      <c r="E105" s="33"/>
      <c r="F105" s="33"/>
    </row>
    <row r="106" spans="2:6">
      <c r="B106" s="102"/>
      <c r="E106" s="33"/>
      <c r="F106" s="33"/>
    </row>
    <row r="107" spans="2:6">
      <c r="B107" s="102"/>
      <c r="E107" s="33"/>
      <c r="F107" s="33"/>
    </row>
    <row r="108" spans="2:6">
      <c r="B108" s="102"/>
      <c r="E108" s="33"/>
      <c r="F108" s="33"/>
    </row>
    <row r="109" spans="2:6">
      <c r="B109" s="102"/>
      <c r="E109" s="33"/>
      <c r="F109" s="33"/>
    </row>
    <row r="110" spans="2:6">
      <c r="B110" s="102"/>
      <c r="E110" s="33"/>
      <c r="F110" s="33"/>
    </row>
    <row r="111" spans="2:6">
      <c r="B111" s="102"/>
      <c r="E111" s="33"/>
      <c r="F111" s="33"/>
    </row>
    <row r="112" spans="2:6">
      <c r="B112" s="102"/>
      <c r="E112" s="33"/>
      <c r="F112" s="33"/>
    </row>
    <row r="113" spans="2:6">
      <c r="B113" s="102"/>
      <c r="E113" s="33"/>
      <c r="F113" s="33"/>
    </row>
    <row r="114" spans="2:6">
      <c r="B114" s="102"/>
      <c r="E114" s="33"/>
      <c r="F114" s="33"/>
    </row>
    <row r="115" spans="2:6">
      <c r="B115" s="102"/>
      <c r="E115" s="33"/>
      <c r="F115" s="33"/>
    </row>
    <row r="116" spans="2:6">
      <c r="B116" s="102"/>
      <c r="E116" s="33"/>
      <c r="F116" s="33"/>
    </row>
    <row r="117" spans="2:6">
      <c r="B117" s="102"/>
      <c r="E117" s="33"/>
      <c r="F117" s="33"/>
    </row>
    <row r="118" spans="2:6">
      <c r="B118" s="102"/>
      <c r="E118" s="33"/>
      <c r="F118" s="33"/>
    </row>
    <row r="119" spans="2:6">
      <c r="B119" s="102"/>
      <c r="E119" s="33"/>
      <c r="F119" s="33"/>
    </row>
    <row r="120" spans="2:6">
      <c r="B120" s="102"/>
      <c r="E120" s="33"/>
      <c r="F120" s="33"/>
    </row>
    <row r="121" spans="2:6">
      <c r="B121" s="102"/>
      <c r="E121" s="33"/>
      <c r="F121" s="33"/>
    </row>
    <row r="122" spans="2:6">
      <c r="B122" s="102"/>
      <c r="E122" s="33"/>
      <c r="F122" s="33"/>
    </row>
    <row r="123" spans="2:6">
      <c r="B123" s="102"/>
      <c r="E123" s="33"/>
      <c r="F123" s="33"/>
    </row>
    <row r="124" spans="2:6">
      <c r="B124" s="102"/>
      <c r="E124" s="33"/>
      <c r="F124" s="33"/>
    </row>
    <row r="125" spans="2:6">
      <c r="B125" s="102"/>
      <c r="E125" s="33"/>
      <c r="F125" s="33"/>
    </row>
    <row r="126" spans="2:6">
      <c r="B126" s="102"/>
      <c r="E126" s="33"/>
      <c r="F126" s="33"/>
    </row>
    <row r="127" spans="2:6">
      <c r="B127" s="102"/>
      <c r="E127" s="33"/>
      <c r="F127" s="33"/>
    </row>
    <row r="128" spans="2:6">
      <c r="B128" s="102"/>
      <c r="E128" s="33"/>
      <c r="F128" s="33"/>
    </row>
    <row r="129" spans="2:6">
      <c r="B129" s="102"/>
      <c r="E129" s="33"/>
      <c r="F129" s="33"/>
    </row>
    <row r="130" spans="2:6">
      <c r="B130" s="102"/>
      <c r="E130" s="33"/>
      <c r="F130" s="33"/>
    </row>
    <row r="131" spans="2:6">
      <c r="B131" s="102"/>
      <c r="E131" s="33"/>
      <c r="F131" s="33"/>
    </row>
    <row r="132" spans="2:6">
      <c r="B132" s="102"/>
      <c r="E132" s="33"/>
      <c r="F132" s="33"/>
    </row>
    <row r="133" spans="2:6">
      <c r="B133" s="102"/>
      <c r="E133" s="33"/>
      <c r="F133" s="33"/>
    </row>
    <row r="134" spans="2:6">
      <c r="B134" s="102"/>
      <c r="E134" s="33"/>
      <c r="F134" s="33"/>
    </row>
    <row r="135" spans="2:6">
      <c r="B135" s="102"/>
      <c r="E135" s="33"/>
      <c r="F135" s="33"/>
    </row>
    <row r="136" spans="2:6">
      <c r="B136" s="102"/>
      <c r="E136" s="33"/>
      <c r="F136" s="33"/>
    </row>
    <row r="137" spans="2:6">
      <c r="B137" s="102"/>
      <c r="E137" s="33"/>
      <c r="F137" s="33"/>
    </row>
    <row r="138" spans="2:6">
      <c r="B138" s="102"/>
      <c r="E138" s="33"/>
      <c r="F138" s="33"/>
    </row>
    <row r="139" spans="2:6">
      <c r="B139" s="102"/>
      <c r="E139" s="33"/>
      <c r="F139" s="33"/>
    </row>
    <row r="140" spans="2:6">
      <c r="B140" s="102"/>
      <c r="E140" s="33"/>
      <c r="F140" s="33"/>
    </row>
    <row r="141" spans="2:6">
      <c r="B141" s="102"/>
      <c r="E141" s="33"/>
      <c r="F141" s="33"/>
    </row>
    <row r="142" spans="2:6">
      <c r="B142" s="102"/>
      <c r="E142" s="33"/>
      <c r="F142" s="33"/>
    </row>
    <row r="143" spans="2:6">
      <c r="B143" s="102"/>
      <c r="E143" s="33"/>
      <c r="F143" s="33"/>
    </row>
    <row r="144" spans="2:6">
      <c r="B144" s="102"/>
      <c r="E144" s="33"/>
      <c r="F144" s="33"/>
    </row>
    <row r="145" spans="2:6">
      <c r="B145" s="102"/>
      <c r="E145" s="33"/>
      <c r="F145" s="33"/>
    </row>
    <row r="146" spans="2:6">
      <c r="B146" s="102"/>
      <c r="E146" s="33"/>
      <c r="F146" s="33"/>
    </row>
    <row r="147" spans="2:6">
      <c r="B147" s="102"/>
      <c r="E147" s="33"/>
      <c r="F147" s="33"/>
    </row>
    <row r="148" spans="2:6">
      <c r="B148" s="102"/>
      <c r="E148" s="33"/>
      <c r="F148" s="33"/>
    </row>
    <row r="149" spans="2:6">
      <c r="B149" s="102"/>
      <c r="E149" s="33"/>
      <c r="F149" s="33"/>
    </row>
    <row r="150" spans="2:6">
      <c r="B150" s="102"/>
      <c r="E150" s="33"/>
      <c r="F150" s="33"/>
    </row>
    <row r="151" spans="2:6">
      <c r="B151" s="102"/>
      <c r="E151" s="33"/>
      <c r="F151" s="33"/>
    </row>
    <row r="152" spans="2:6">
      <c r="B152" s="102"/>
      <c r="E152" s="33"/>
      <c r="F152" s="33"/>
    </row>
    <row r="153" spans="2:6">
      <c r="B153" s="102"/>
      <c r="E153" s="33"/>
      <c r="F153" s="33"/>
    </row>
    <row r="154" spans="2:6">
      <c r="B154" s="102"/>
      <c r="E154" s="33"/>
      <c r="F154" s="33"/>
    </row>
    <row r="155" spans="2:6">
      <c r="B155" s="102"/>
      <c r="E155" s="33"/>
      <c r="F155" s="33"/>
    </row>
    <row r="156" spans="2:6">
      <c r="B156" s="102"/>
      <c r="E156" s="33"/>
      <c r="F156" s="33"/>
    </row>
    <row r="157" spans="2:6">
      <c r="B157" s="102"/>
      <c r="E157" s="33"/>
      <c r="F157" s="33"/>
    </row>
    <row r="158" spans="2:6">
      <c r="B158" s="102"/>
      <c r="E158" s="33"/>
      <c r="F158" s="33"/>
    </row>
    <row r="159" spans="2:6">
      <c r="B159" s="102"/>
      <c r="E159" s="33"/>
      <c r="F159" s="33"/>
    </row>
    <row r="160" spans="2:6">
      <c r="B160" s="102"/>
      <c r="E160" s="33"/>
      <c r="F160" s="33"/>
    </row>
    <row r="161" spans="2:6">
      <c r="B161" s="102"/>
      <c r="E161" s="33"/>
      <c r="F161" s="33"/>
    </row>
    <row r="162" spans="2:6">
      <c r="B162" s="102"/>
      <c r="E162" s="33"/>
      <c r="F162" s="33"/>
    </row>
    <row r="163" spans="2:6">
      <c r="B163" s="102"/>
      <c r="E163" s="33"/>
      <c r="F163" s="33"/>
    </row>
    <row r="164" spans="2:6">
      <c r="B164" s="102"/>
      <c r="E164" s="33"/>
      <c r="F164" s="33"/>
    </row>
    <row r="165" spans="2:6">
      <c r="B165" s="102"/>
      <c r="E165" s="33"/>
      <c r="F165" s="33"/>
    </row>
    <row r="166" spans="2:6">
      <c r="B166" s="102"/>
      <c r="E166" s="33"/>
      <c r="F166" s="33"/>
    </row>
    <row r="167" spans="2:6">
      <c r="B167" s="102"/>
      <c r="E167" s="33"/>
      <c r="F167" s="33"/>
    </row>
    <row r="168" spans="2:6">
      <c r="B168" s="102"/>
      <c r="E168" s="33"/>
      <c r="F168" s="33"/>
    </row>
    <row r="169" spans="2:6">
      <c r="B169" s="102"/>
      <c r="E169" s="33"/>
      <c r="F169" s="33"/>
    </row>
    <row r="170" spans="2:6">
      <c r="B170" s="102"/>
      <c r="E170" s="33"/>
      <c r="F170" s="33"/>
    </row>
    <row r="171" spans="2:6">
      <c r="B171" s="102"/>
      <c r="E171" s="33"/>
      <c r="F171" s="33"/>
    </row>
    <row r="172" spans="2:6">
      <c r="B172" s="102"/>
      <c r="E172" s="33"/>
      <c r="F172" s="33"/>
    </row>
    <row r="173" spans="2:6">
      <c r="B173" s="102"/>
      <c r="E173" s="33"/>
      <c r="F173" s="33"/>
    </row>
    <row r="174" spans="2:6">
      <c r="B174" s="102"/>
      <c r="E174" s="33"/>
      <c r="F174" s="33"/>
    </row>
    <row r="175" spans="2:6">
      <c r="B175" s="102"/>
      <c r="E175" s="33"/>
      <c r="F175" s="33"/>
    </row>
    <row r="176" spans="2:6">
      <c r="B176" s="102"/>
      <c r="E176" s="33"/>
      <c r="F176" s="33"/>
    </row>
    <row r="177" spans="2:6">
      <c r="B177" s="102"/>
      <c r="E177" s="33"/>
      <c r="F177" s="33"/>
    </row>
    <row r="178" spans="2:6">
      <c r="B178" s="102"/>
      <c r="E178" s="33"/>
      <c r="F178" s="33"/>
    </row>
    <row r="179" spans="2:6">
      <c r="B179" s="102"/>
      <c r="E179" s="33"/>
      <c r="F179" s="33"/>
    </row>
    <row r="180" spans="2:6">
      <c r="B180" s="102"/>
      <c r="E180" s="33"/>
      <c r="F180" s="33"/>
    </row>
    <row r="181" spans="2:6">
      <c r="B181" s="102"/>
      <c r="E181" s="33"/>
      <c r="F181" s="33"/>
    </row>
    <row r="182" spans="2:6">
      <c r="B182" s="102"/>
      <c r="E182" s="33"/>
      <c r="F182" s="33"/>
    </row>
    <row r="183" spans="2:6">
      <c r="B183" s="102"/>
      <c r="E183" s="33"/>
      <c r="F183" s="33"/>
    </row>
    <row r="184" spans="2:6">
      <c r="B184" s="102"/>
      <c r="E184" s="33"/>
      <c r="F184" s="33"/>
    </row>
    <row r="185" spans="2:6">
      <c r="B185" s="102"/>
      <c r="E185" s="33"/>
      <c r="F185" s="33"/>
    </row>
    <row r="186" spans="2:6">
      <c r="B186" s="102"/>
      <c r="E186" s="33"/>
      <c r="F186" s="33"/>
    </row>
    <row r="187" spans="2:6">
      <c r="B187" s="102"/>
      <c r="E187" s="33"/>
      <c r="F187" s="33"/>
    </row>
    <row r="188" spans="2:6">
      <c r="B188" s="102"/>
      <c r="E188" s="33"/>
      <c r="F188" s="33"/>
    </row>
    <row r="189" spans="2:6">
      <c r="B189" s="102"/>
      <c r="E189" s="33"/>
      <c r="F189" s="33"/>
    </row>
    <row r="190" spans="2:6">
      <c r="B190" s="102"/>
      <c r="E190" s="33"/>
      <c r="F190" s="33"/>
    </row>
    <row r="191" spans="2:6">
      <c r="B191" s="102"/>
      <c r="E191" s="33"/>
      <c r="F191" s="33"/>
    </row>
    <row r="192" spans="2:6">
      <c r="B192" s="102"/>
      <c r="E192" s="33"/>
      <c r="F192" s="33"/>
    </row>
  </sheetData>
  <mergeCells count="21">
    <mergeCell ref="A41:E41"/>
    <mergeCell ref="A42:E42"/>
    <mergeCell ref="A43:E43"/>
    <mergeCell ref="A47:F47"/>
    <mergeCell ref="A60:E60"/>
    <mergeCell ref="A61:E61"/>
    <mergeCell ref="A62:E62"/>
    <mergeCell ref="A63:F63"/>
    <mergeCell ref="A64:F64"/>
    <mergeCell ref="A73:E73"/>
    <mergeCell ref="A74:E74"/>
    <mergeCell ref="A75:E75"/>
    <mergeCell ref="A76:F76"/>
    <mergeCell ref="A79:E79"/>
    <mergeCell ref="A80:E80"/>
    <mergeCell ref="A81:E81"/>
    <mergeCell ref="A83:E83"/>
    <mergeCell ref="A84:E84"/>
    <mergeCell ref="A85:E85"/>
    <mergeCell ref="A1:F2"/>
    <mergeCell ref="A45:F46"/>
  </mergeCells>
  <pageMargins left="0.75" right="0.75" top="1" bottom="1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0"/>
  <sheetViews>
    <sheetView view="pageBreakPreview" zoomScaleNormal="100" workbookViewId="0">
      <selection activeCell="F43" sqref="F43"/>
    </sheetView>
  </sheetViews>
  <sheetFormatPr defaultColWidth="14.4285714285714" defaultRowHeight="15"/>
  <cols>
    <col min="1" max="1" width="6" customWidth="1"/>
    <col min="2" max="2" width="39.7142857142857" customWidth="1"/>
    <col min="3" max="3" width="9.85714285714286" customWidth="1"/>
    <col min="4" max="4" width="8.71428571428571" customWidth="1"/>
    <col min="5" max="5" width="12.5714285714286" customWidth="1"/>
    <col min="6" max="6" width="12.2857142857143" customWidth="1"/>
    <col min="7" max="7" width="8" customWidth="1"/>
    <col min="8" max="8" width="12.7142857142857" customWidth="1"/>
    <col min="9" max="9" width="13.5714285714286" customWidth="1"/>
    <col min="10" max="10" width="9.14285714285714" customWidth="1"/>
  </cols>
  <sheetData>
    <row r="1" spans="1:6">
      <c r="A1" s="48" t="s">
        <v>598</v>
      </c>
      <c r="B1" s="42"/>
      <c r="C1" s="42"/>
      <c r="D1" s="42"/>
      <c r="E1" s="42"/>
      <c r="F1" s="43"/>
    </row>
    <row r="2" spans="1:6">
      <c r="A2" s="49"/>
      <c r="B2" s="21"/>
      <c r="C2" s="21"/>
      <c r="D2" s="21"/>
      <c r="E2" s="21"/>
      <c r="F2" s="22"/>
    </row>
    <row r="3" spans="1:6">
      <c r="A3" s="50" t="s">
        <v>583</v>
      </c>
      <c r="B3" s="51"/>
      <c r="C3" s="51"/>
      <c r="D3" s="51"/>
      <c r="E3" s="51"/>
      <c r="F3" s="52"/>
    </row>
    <row r="4" ht="30" spans="1:6">
      <c r="A4" s="6" t="s">
        <v>1</v>
      </c>
      <c r="B4" s="7" t="s">
        <v>2</v>
      </c>
      <c r="C4" s="7" t="s">
        <v>496</v>
      </c>
      <c r="D4" s="6" t="s">
        <v>497</v>
      </c>
      <c r="E4" s="8" t="s">
        <v>498</v>
      </c>
      <c r="F4" s="9" t="s">
        <v>499</v>
      </c>
    </row>
    <row r="5" spans="1:6">
      <c r="A5" s="16" t="s">
        <v>500</v>
      </c>
      <c r="B5" s="53" t="s">
        <v>599</v>
      </c>
      <c r="C5" s="54" t="s">
        <v>496</v>
      </c>
      <c r="D5" s="54">
        <v>1</v>
      </c>
      <c r="E5" s="36">
        <v>91.28</v>
      </c>
      <c r="F5" s="17">
        <f t="shared" ref="F5:F15" si="0">E5*D5</f>
        <v>91.28</v>
      </c>
    </row>
    <row r="6" spans="1:6">
      <c r="A6" s="16" t="s">
        <v>503</v>
      </c>
      <c r="B6" s="53" t="s">
        <v>600</v>
      </c>
      <c r="C6" s="54" t="s">
        <v>496</v>
      </c>
      <c r="D6" s="54">
        <v>1</v>
      </c>
      <c r="E6" s="36">
        <v>83.66</v>
      </c>
      <c r="F6" s="17">
        <f t="shared" si="0"/>
        <v>83.66</v>
      </c>
    </row>
    <row r="7" spans="1:6">
      <c r="A7" s="16" t="s">
        <v>505</v>
      </c>
      <c r="B7" s="53" t="s">
        <v>601</v>
      </c>
      <c r="C7" s="54" t="s">
        <v>496</v>
      </c>
      <c r="D7" s="54">
        <v>1</v>
      </c>
      <c r="E7" s="36">
        <v>43.61</v>
      </c>
      <c r="F7" s="17">
        <f t="shared" si="0"/>
        <v>43.61</v>
      </c>
    </row>
    <row r="8" spans="1:6">
      <c r="A8" s="16" t="s">
        <v>508</v>
      </c>
      <c r="B8" s="55" t="s">
        <v>602</v>
      </c>
      <c r="C8" s="54" t="s">
        <v>496</v>
      </c>
      <c r="D8" s="54">
        <v>1</v>
      </c>
      <c r="E8" s="36">
        <v>40.1</v>
      </c>
      <c r="F8" s="17">
        <f t="shared" si="0"/>
        <v>40.1</v>
      </c>
    </row>
    <row r="9" spans="1:6">
      <c r="A9" s="16" t="s">
        <v>510</v>
      </c>
      <c r="B9" s="53" t="s">
        <v>603</v>
      </c>
      <c r="C9" s="54" t="s">
        <v>496</v>
      </c>
      <c r="D9" s="54">
        <v>1</v>
      </c>
      <c r="E9" s="36">
        <v>98.9</v>
      </c>
      <c r="F9" s="17">
        <f t="shared" si="0"/>
        <v>98.9</v>
      </c>
    </row>
    <row r="10" ht="60" spans="1:6">
      <c r="A10" s="16" t="s">
        <v>512</v>
      </c>
      <c r="B10" s="56" t="s">
        <v>604</v>
      </c>
      <c r="C10" s="54" t="s">
        <v>496</v>
      </c>
      <c r="D10" s="54">
        <v>1</v>
      </c>
      <c r="E10" s="36">
        <v>38.11</v>
      </c>
      <c r="F10" s="17">
        <f t="shared" si="0"/>
        <v>38.11</v>
      </c>
    </row>
    <row r="11" ht="60" spans="1:6">
      <c r="A11" s="16" t="s">
        <v>514</v>
      </c>
      <c r="B11" s="56" t="s">
        <v>605</v>
      </c>
      <c r="C11" s="54" t="s">
        <v>496</v>
      </c>
      <c r="D11" s="54">
        <v>1</v>
      </c>
      <c r="E11" s="36">
        <v>54.45</v>
      </c>
      <c r="F11" s="17">
        <f t="shared" si="0"/>
        <v>54.45</v>
      </c>
    </row>
    <row r="12" ht="45" spans="1:6">
      <c r="A12" s="16" t="s">
        <v>516</v>
      </c>
      <c r="B12" s="56" t="s">
        <v>606</v>
      </c>
      <c r="C12" s="54" t="s">
        <v>496</v>
      </c>
      <c r="D12" s="54">
        <v>1</v>
      </c>
      <c r="E12" s="36">
        <v>32.4</v>
      </c>
      <c r="F12" s="17">
        <f t="shared" si="0"/>
        <v>32.4</v>
      </c>
    </row>
    <row r="13" ht="30" spans="1:6">
      <c r="A13" s="16" t="s">
        <v>518</v>
      </c>
      <c r="B13" s="56" t="s">
        <v>607</v>
      </c>
      <c r="C13" s="54" t="s">
        <v>496</v>
      </c>
      <c r="D13" s="54">
        <v>1</v>
      </c>
      <c r="E13" s="36">
        <v>33.01</v>
      </c>
      <c r="F13" s="17">
        <f t="shared" si="0"/>
        <v>33.01</v>
      </c>
    </row>
    <row r="14" ht="30" spans="1:6">
      <c r="A14" s="16" t="s">
        <v>520</v>
      </c>
      <c r="B14" s="56" t="s">
        <v>608</v>
      </c>
      <c r="C14" s="54" t="s">
        <v>496</v>
      </c>
      <c r="D14" s="54">
        <v>1</v>
      </c>
      <c r="E14" s="36">
        <v>27.93</v>
      </c>
      <c r="F14" s="17">
        <f t="shared" si="0"/>
        <v>27.93</v>
      </c>
    </row>
    <row r="15" spans="1:6">
      <c r="A15" s="16" t="s">
        <v>522</v>
      </c>
      <c r="B15" s="56" t="s">
        <v>609</v>
      </c>
      <c r="C15" s="54" t="s">
        <v>496</v>
      </c>
      <c r="D15" s="54">
        <v>1</v>
      </c>
      <c r="E15" s="36">
        <v>27.22</v>
      </c>
      <c r="F15" s="17">
        <f t="shared" si="0"/>
        <v>27.22</v>
      </c>
    </row>
    <row r="16" spans="1:6">
      <c r="A16" s="3" t="s">
        <v>499</v>
      </c>
      <c r="B16" s="4"/>
      <c r="C16" s="4"/>
      <c r="D16" s="4"/>
      <c r="E16" s="5"/>
      <c r="F16" s="57">
        <f>SUM(F5:F15)</f>
        <v>570.67</v>
      </c>
    </row>
    <row r="17" spans="1:6">
      <c r="A17" s="3" t="s">
        <v>569</v>
      </c>
      <c r="B17" s="4"/>
      <c r="C17" s="4"/>
      <c r="D17" s="4"/>
      <c r="E17" s="5"/>
      <c r="F17" s="57">
        <f>ROUND(F16/12,2)</f>
        <v>47.56</v>
      </c>
    </row>
    <row r="18" spans="1:6">
      <c r="A18" s="58"/>
      <c r="B18" s="59"/>
      <c r="C18" s="59"/>
      <c r="D18" s="59"/>
      <c r="E18" s="60"/>
      <c r="F18" s="61"/>
    </row>
    <row r="21" spans="1:9">
      <c r="A21" s="62" t="s">
        <v>610</v>
      </c>
      <c r="B21" s="63"/>
      <c r="C21" s="63"/>
      <c r="D21" s="63"/>
      <c r="E21" s="63"/>
      <c r="F21" s="63"/>
      <c r="G21" s="63"/>
      <c r="H21" s="63"/>
      <c r="I21" s="71"/>
    </row>
    <row r="22" spans="1:9">
      <c r="A22" s="64"/>
      <c r="B22" s="64"/>
      <c r="C22" s="64"/>
      <c r="D22" s="64"/>
      <c r="E22" s="65"/>
      <c r="F22" s="65"/>
      <c r="G22" s="64"/>
      <c r="H22" s="65"/>
      <c r="I22" s="65"/>
    </row>
    <row r="23" spans="1:9">
      <c r="A23" s="3" t="s">
        <v>611</v>
      </c>
      <c r="B23" s="63"/>
      <c r="C23" s="63"/>
      <c r="D23" s="63"/>
      <c r="E23" s="63"/>
      <c r="F23" s="63"/>
      <c r="G23" s="63"/>
      <c r="H23" s="63"/>
      <c r="I23" s="71"/>
    </row>
    <row r="24" ht="45" spans="1:9">
      <c r="A24" s="6" t="s">
        <v>1</v>
      </c>
      <c r="B24" s="6" t="s">
        <v>2</v>
      </c>
      <c r="C24" s="6" t="s">
        <v>496</v>
      </c>
      <c r="D24" s="6" t="s">
        <v>497</v>
      </c>
      <c r="E24" s="8" t="s">
        <v>498</v>
      </c>
      <c r="F24" s="9" t="s">
        <v>499</v>
      </c>
      <c r="G24" s="66" t="s">
        <v>612</v>
      </c>
      <c r="H24" s="67" t="s">
        <v>613</v>
      </c>
      <c r="I24" s="67" t="s">
        <v>614</v>
      </c>
    </row>
    <row r="25" spans="1:9">
      <c r="A25" s="68" t="s">
        <v>500</v>
      </c>
      <c r="B25" s="53" t="s">
        <v>615</v>
      </c>
      <c r="C25" s="54" t="s">
        <v>496</v>
      </c>
      <c r="D25" s="54">
        <v>3</v>
      </c>
      <c r="E25" s="69">
        <v>1508.4</v>
      </c>
      <c r="F25" s="69">
        <f>E25*D25</f>
        <v>4525.2</v>
      </c>
      <c r="G25" s="54">
        <v>60</v>
      </c>
      <c r="H25" s="69">
        <f>ROUND(F25*0.8,2)</f>
        <v>3620.16</v>
      </c>
      <c r="I25" s="69">
        <f>ROUND(H25/G25,2)</f>
        <v>60.34</v>
      </c>
    </row>
    <row r="26" spans="1:9">
      <c r="A26" s="70" t="s">
        <v>384</v>
      </c>
      <c r="B26" s="63"/>
      <c r="C26" s="63"/>
      <c r="D26" s="63"/>
      <c r="E26" s="71"/>
      <c r="F26" s="72">
        <f>SUM(F25:F25)</f>
        <v>4525.2</v>
      </c>
      <c r="G26" s="73"/>
      <c r="H26" s="71"/>
      <c r="I26" s="80">
        <f>SUM(I25:I25)</f>
        <v>60.34</v>
      </c>
    </row>
    <row r="27" spans="1:9">
      <c r="A27" s="3" t="s">
        <v>568</v>
      </c>
      <c r="B27" s="63"/>
      <c r="C27" s="63"/>
      <c r="D27" s="63"/>
      <c r="E27" s="63"/>
      <c r="F27" s="63"/>
      <c r="G27" s="63"/>
      <c r="H27" s="71"/>
      <c r="I27" s="81">
        <v>42</v>
      </c>
    </row>
    <row r="28" spans="1:9">
      <c r="A28" s="3" t="s">
        <v>569</v>
      </c>
      <c r="B28" s="63"/>
      <c r="C28" s="63"/>
      <c r="D28" s="63"/>
      <c r="E28" s="63"/>
      <c r="F28" s="63"/>
      <c r="G28" s="63"/>
      <c r="H28" s="71"/>
      <c r="I28" s="80">
        <f>ROUND(I26/I27,2)</f>
        <v>1.44</v>
      </c>
    </row>
    <row r="29" spans="1:9">
      <c r="A29" s="74"/>
      <c r="B29" s="63"/>
      <c r="C29" s="63"/>
      <c r="D29" s="63"/>
      <c r="E29" s="63"/>
      <c r="F29" s="63"/>
      <c r="G29" s="63"/>
      <c r="H29" s="63"/>
      <c r="I29" s="82"/>
    </row>
    <row r="30" spans="1:10">
      <c r="A30" s="3" t="s">
        <v>571</v>
      </c>
      <c r="B30" s="63"/>
      <c r="C30" s="63"/>
      <c r="D30" s="63"/>
      <c r="E30" s="63"/>
      <c r="F30" s="63"/>
      <c r="G30" s="63"/>
      <c r="H30" s="63"/>
      <c r="I30" s="71"/>
      <c r="J30" s="83"/>
    </row>
    <row r="31" ht="45" spans="1:10">
      <c r="A31" s="6" t="s">
        <v>1</v>
      </c>
      <c r="B31" s="6" t="s">
        <v>2</v>
      </c>
      <c r="C31" s="6" t="s">
        <v>496</v>
      </c>
      <c r="D31" s="6" t="s">
        <v>497</v>
      </c>
      <c r="E31" s="8" t="s">
        <v>498</v>
      </c>
      <c r="F31" s="9" t="s">
        <v>499</v>
      </c>
      <c r="G31" s="66" t="s">
        <v>612</v>
      </c>
      <c r="H31" s="67" t="s">
        <v>613</v>
      </c>
      <c r="I31" s="67" t="s">
        <v>614</v>
      </c>
      <c r="J31" s="83"/>
    </row>
    <row r="32" spans="1:10">
      <c r="A32" s="68" t="s">
        <v>500</v>
      </c>
      <c r="B32" s="53" t="s">
        <v>616</v>
      </c>
      <c r="C32" s="54" t="s">
        <v>496</v>
      </c>
      <c r="D32" s="54">
        <v>2</v>
      </c>
      <c r="E32" s="69">
        <v>179.43</v>
      </c>
      <c r="F32" s="69">
        <f t="shared" ref="F32" si="1">E32*D32</f>
        <v>358.86</v>
      </c>
      <c r="G32" s="54">
        <v>60</v>
      </c>
      <c r="H32" s="69">
        <f t="shared" ref="H32" si="2">ROUND(F32*0.8,2)</f>
        <v>287.09</v>
      </c>
      <c r="I32" s="69">
        <f t="shared" ref="I32" si="3">ROUND(H32/G32,2)</f>
        <v>4.78</v>
      </c>
      <c r="J32" s="83"/>
    </row>
    <row r="33" spans="1:10">
      <c r="A33" s="70" t="s">
        <v>384</v>
      </c>
      <c r="B33" s="63"/>
      <c r="C33" s="63"/>
      <c r="D33" s="63"/>
      <c r="E33" s="71"/>
      <c r="F33" s="72">
        <f>SUM(F32:F32)</f>
        <v>358.86</v>
      </c>
      <c r="G33" s="73"/>
      <c r="H33" s="71"/>
      <c r="I33" s="80">
        <f>SUM(I32:I32)</f>
        <v>4.78</v>
      </c>
      <c r="J33" s="83"/>
    </row>
    <row r="34" spans="1:10">
      <c r="A34" s="3" t="s">
        <v>568</v>
      </c>
      <c r="B34" s="63"/>
      <c r="C34" s="63"/>
      <c r="D34" s="63"/>
      <c r="E34" s="63"/>
      <c r="F34" s="63"/>
      <c r="G34" s="63"/>
      <c r="H34" s="71"/>
      <c r="I34" s="81">
        <v>31</v>
      </c>
      <c r="J34" s="83"/>
    </row>
    <row r="35" spans="1:10">
      <c r="A35" s="3" t="s">
        <v>569</v>
      </c>
      <c r="B35" s="63"/>
      <c r="C35" s="63"/>
      <c r="D35" s="63"/>
      <c r="E35" s="63"/>
      <c r="F35" s="63"/>
      <c r="G35" s="63"/>
      <c r="H35" s="71"/>
      <c r="I35" s="80">
        <f>ROUND(I33/I34,2)</f>
        <v>0.15</v>
      </c>
      <c r="J35" s="83"/>
    </row>
    <row r="36" spans="1:9">
      <c r="A36" s="64"/>
      <c r="B36" s="64"/>
      <c r="C36" s="64"/>
      <c r="D36" s="64"/>
      <c r="E36" s="65"/>
      <c r="F36" s="65"/>
      <c r="G36" s="64"/>
      <c r="H36" s="65"/>
      <c r="I36" s="65"/>
    </row>
    <row r="37" spans="1:9">
      <c r="A37" s="3" t="s">
        <v>583</v>
      </c>
      <c r="B37" s="63"/>
      <c r="C37" s="63"/>
      <c r="D37" s="63"/>
      <c r="E37" s="63"/>
      <c r="F37" s="63"/>
      <c r="G37" s="63"/>
      <c r="H37" s="63"/>
      <c r="I37" s="71"/>
    </row>
    <row r="38" ht="45" spans="1:9">
      <c r="A38" s="6" t="s">
        <v>1</v>
      </c>
      <c r="B38" s="6" t="s">
        <v>2</v>
      </c>
      <c r="C38" s="6" t="s">
        <v>496</v>
      </c>
      <c r="D38" s="6" t="s">
        <v>497</v>
      </c>
      <c r="E38" s="8" t="s">
        <v>498</v>
      </c>
      <c r="F38" s="9" t="s">
        <v>499</v>
      </c>
      <c r="G38" s="66" t="s">
        <v>612</v>
      </c>
      <c r="H38" s="67" t="s">
        <v>613</v>
      </c>
      <c r="I38" s="67" t="s">
        <v>614</v>
      </c>
    </row>
    <row r="39" ht="45" spans="1:9">
      <c r="A39" s="54">
        <v>1</v>
      </c>
      <c r="B39" s="56" t="s">
        <v>617</v>
      </c>
      <c r="C39" s="54" t="s">
        <v>496</v>
      </c>
      <c r="D39" s="54">
        <v>1</v>
      </c>
      <c r="E39" s="75">
        <v>270.57</v>
      </c>
      <c r="F39" s="69">
        <f>D39*E39</f>
        <v>270.57</v>
      </c>
      <c r="G39" s="54">
        <v>60</v>
      </c>
      <c r="H39" s="69">
        <f t="shared" ref="H39:H42" si="4">ROUND(F39*0.8,2)</f>
        <v>216.46</v>
      </c>
      <c r="I39" s="69">
        <f t="shared" ref="I39:I42" si="5">ROUND(H39/G39,2)</f>
        <v>3.61</v>
      </c>
    </row>
    <row r="40" spans="1:9">
      <c r="A40" s="54">
        <v>2</v>
      </c>
      <c r="B40" s="53" t="s">
        <v>618</v>
      </c>
      <c r="C40" s="54" t="s">
        <v>496</v>
      </c>
      <c r="D40" s="54">
        <v>4</v>
      </c>
      <c r="E40" s="75">
        <v>143.41</v>
      </c>
      <c r="F40" s="69">
        <f t="shared" ref="F40:F41" si="6">E40*D40</f>
        <v>573.64</v>
      </c>
      <c r="G40" s="54">
        <v>60</v>
      </c>
      <c r="H40" s="69">
        <f t="shared" ref="H40:H41" si="7">ROUND(F40*0.8,2)</f>
        <v>458.91</v>
      </c>
      <c r="I40" s="69">
        <f t="shared" ref="I40:I41" si="8">ROUND(H40/G40,2)</f>
        <v>7.65</v>
      </c>
    </row>
    <row r="41" ht="36" customHeight="1" spans="1:9">
      <c r="A41" s="16">
        <v>3</v>
      </c>
      <c r="B41" s="76" t="s">
        <v>619</v>
      </c>
      <c r="C41" s="16" t="s">
        <v>496</v>
      </c>
      <c r="D41" s="54">
        <v>4</v>
      </c>
      <c r="E41" s="75">
        <v>489.67</v>
      </c>
      <c r="F41" s="69">
        <f t="shared" si="6"/>
        <v>1958.68</v>
      </c>
      <c r="G41" s="54">
        <v>60</v>
      </c>
      <c r="H41" s="69">
        <f t="shared" si="7"/>
        <v>1566.94</v>
      </c>
      <c r="I41" s="69">
        <f t="shared" si="8"/>
        <v>26.12</v>
      </c>
    </row>
    <row r="42" spans="1:9">
      <c r="A42" s="54">
        <v>4</v>
      </c>
      <c r="B42" s="53" t="s">
        <v>620</v>
      </c>
      <c r="C42" s="54" t="s">
        <v>496</v>
      </c>
      <c r="D42" s="54">
        <v>2</v>
      </c>
      <c r="E42" s="75">
        <v>541.15</v>
      </c>
      <c r="F42" s="69">
        <f t="shared" ref="F42" si="9">E42*D42</f>
        <v>1082.3</v>
      </c>
      <c r="G42" s="54">
        <v>60</v>
      </c>
      <c r="H42" s="69">
        <f t="shared" si="4"/>
        <v>865.84</v>
      </c>
      <c r="I42" s="69">
        <f t="shared" si="5"/>
        <v>14.43</v>
      </c>
    </row>
    <row r="43" spans="1:9">
      <c r="A43" s="77" t="s">
        <v>384</v>
      </c>
      <c r="B43" s="63"/>
      <c r="C43" s="63"/>
      <c r="D43" s="63"/>
      <c r="E43" s="71"/>
      <c r="F43" s="78">
        <f>SUM(F39:F42)</f>
        <v>3885.19</v>
      </c>
      <c r="G43" s="79"/>
      <c r="H43" s="78"/>
      <c r="I43" s="84">
        <f>SUM(I39:I42)</f>
        <v>51.81</v>
      </c>
    </row>
    <row r="44" spans="1:9">
      <c r="A44" s="62" t="s">
        <v>568</v>
      </c>
      <c r="B44" s="63"/>
      <c r="C44" s="63"/>
      <c r="D44" s="63"/>
      <c r="E44" s="63"/>
      <c r="F44" s="63"/>
      <c r="G44" s="63"/>
      <c r="H44" s="71"/>
      <c r="I44" s="81">
        <v>7</v>
      </c>
    </row>
    <row r="45" spans="1:9">
      <c r="A45" s="62" t="s">
        <v>569</v>
      </c>
      <c r="B45" s="63"/>
      <c r="C45" s="63"/>
      <c r="D45" s="63"/>
      <c r="E45" s="63"/>
      <c r="F45" s="63"/>
      <c r="G45" s="63"/>
      <c r="H45" s="71"/>
      <c r="I45" s="80">
        <f>ROUND(I43/I44,2)</f>
        <v>7.4</v>
      </c>
    </row>
    <row r="46" spans="5:9">
      <c r="E46" s="33"/>
      <c r="F46" s="33"/>
      <c r="H46" s="33"/>
      <c r="I46" s="33"/>
    </row>
    <row r="47" spans="1:9">
      <c r="A47" s="3" t="s">
        <v>490</v>
      </c>
      <c r="B47" s="63"/>
      <c r="C47" s="63"/>
      <c r="D47" s="63"/>
      <c r="E47" s="63"/>
      <c r="F47" s="63"/>
      <c r="G47" s="63"/>
      <c r="H47" s="63"/>
      <c r="I47" s="71"/>
    </row>
    <row r="48" ht="45" spans="1:9">
      <c r="A48" s="6" t="s">
        <v>1</v>
      </c>
      <c r="B48" s="6" t="s">
        <v>2</v>
      </c>
      <c r="C48" s="6" t="s">
        <v>496</v>
      </c>
      <c r="D48" s="6" t="s">
        <v>497</v>
      </c>
      <c r="E48" s="8" t="s">
        <v>498</v>
      </c>
      <c r="F48" s="9" t="s">
        <v>499</v>
      </c>
      <c r="G48" s="66" t="s">
        <v>612</v>
      </c>
      <c r="H48" s="67" t="s">
        <v>613</v>
      </c>
      <c r="I48" s="67" t="s">
        <v>614</v>
      </c>
    </row>
    <row r="49" ht="60" spans="1:9">
      <c r="A49" s="54">
        <v>1</v>
      </c>
      <c r="B49" s="56" t="s">
        <v>621</v>
      </c>
      <c r="C49" s="54" t="s">
        <v>496</v>
      </c>
      <c r="D49" s="54">
        <v>3</v>
      </c>
      <c r="E49" s="75">
        <v>892.54</v>
      </c>
      <c r="F49" s="69">
        <f>E49*D49</f>
        <v>2677.62</v>
      </c>
      <c r="G49" s="54">
        <v>60</v>
      </c>
      <c r="H49" s="69">
        <f t="shared" ref="H49" si="10">ROUND(F49*0.8,2)</f>
        <v>2142.1</v>
      </c>
      <c r="I49" s="69">
        <f t="shared" ref="I49" si="11">ROUND(H49/G49,2)</f>
        <v>35.7</v>
      </c>
    </row>
    <row r="50" customHeight="1" spans="1:9">
      <c r="A50" s="77" t="s">
        <v>384</v>
      </c>
      <c r="B50" s="63"/>
      <c r="C50" s="63"/>
      <c r="D50" s="63"/>
      <c r="E50" s="71"/>
      <c r="F50" s="78">
        <f>SUM(F49:F49)</f>
        <v>2677.62</v>
      </c>
      <c r="G50" s="79"/>
      <c r="H50" s="78"/>
      <c r="I50" s="84">
        <f>SUM(I49:I49)</f>
        <v>35.7</v>
      </c>
    </row>
    <row r="51" customHeight="1" spans="1:9">
      <c r="A51" s="62" t="s">
        <v>568</v>
      </c>
      <c r="B51" s="63"/>
      <c r="C51" s="63"/>
      <c r="D51" s="63"/>
      <c r="E51" s="63"/>
      <c r="F51" s="63"/>
      <c r="G51" s="63"/>
      <c r="H51" s="71"/>
      <c r="I51" s="81">
        <v>3</v>
      </c>
    </row>
    <row r="52" spans="1:9">
      <c r="A52" s="62" t="s">
        <v>569</v>
      </c>
      <c r="B52" s="63"/>
      <c r="C52" s="63"/>
      <c r="D52" s="63"/>
      <c r="E52" s="63"/>
      <c r="F52" s="63"/>
      <c r="G52" s="63"/>
      <c r="H52" s="71"/>
      <c r="I52" s="80">
        <f>ROUND(I50/I51,2)</f>
        <v>11.9</v>
      </c>
    </row>
    <row r="53" spans="5:9">
      <c r="E53" s="33"/>
      <c r="F53" s="33"/>
      <c r="H53" s="33"/>
      <c r="I53" s="33"/>
    </row>
    <row r="54" spans="1:9">
      <c r="A54" s="62" t="s">
        <v>596</v>
      </c>
      <c r="B54" s="63"/>
      <c r="C54" s="63"/>
      <c r="D54" s="63"/>
      <c r="E54" s="63"/>
      <c r="F54" s="63"/>
      <c r="G54" s="63"/>
      <c r="H54" s="71"/>
      <c r="I54" s="85">
        <f>F17+I28+I45</f>
        <v>56.4</v>
      </c>
    </row>
    <row r="55" spans="1:9">
      <c r="A55" s="62" t="s">
        <v>595</v>
      </c>
      <c r="B55" s="63"/>
      <c r="C55" s="63"/>
      <c r="D55" s="63"/>
      <c r="E55" s="63"/>
      <c r="F55" s="63"/>
      <c r="G55" s="63"/>
      <c r="H55" s="71"/>
      <c r="I55" s="86">
        <f>I28+I35</f>
        <v>1.59</v>
      </c>
    </row>
    <row r="56" spans="1:9">
      <c r="A56" s="62" t="s">
        <v>597</v>
      </c>
      <c r="B56" s="63"/>
      <c r="C56" s="63"/>
      <c r="D56" s="63"/>
      <c r="E56" s="63"/>
      <c r="F56" s="63"/>
      <c r="G56" s="63"/>
      <c r="H56" s="63"/>
      <c r="I56" s="87">
        <f>I28+I52</f>
        <v>13.34</v>
      </c>
    </row>
    <row r="57" spans="1:9">
      <c r="A57" s="62" t="s">
        <v>622</v>
      </c>
      <c r="B57" s="63"/>
      <c r="C57" s="63"/>
      <c r="D57" s="63"/>
      <c r="E57" s="63"/>
      <c r="F57" s="63"/>
      <c r="G57" s="63"/>
      <c r="H57" s="63"/>
      <c r="I57" s="87">
        <f>I28</f>
        <v>1.44</v>
      </c>
    </row>
    <row r="58" spans="5:9">
      <c r="E58" s="33"/>
      <c r="F58" s="33"/>
      <c r="H58" s="33"/>
      <c r="I58" s="33"/>
    </row>
    <row r="59" spans="5:9">
      <c r="E59" s="33"/>
      <c r="F59" s="33"/>
      <c r="H59" s="33"/>
      <c r="I59" s="33"/>
    </row>
    <row r="60" spans="5:9">
      <c r="E60" s="33"/>
      <c r="F60" s="33"/>
      <c r="H60" s="33"/>
      <c r="I60" s="33"/>
    </row>
    <row r="61" spans="5:9">
      <c r="E61" s="33"/>
      <c r="F61" s="33"/>
      <c r="H61" s="33"/>
      <c r="I61" s="33"/>
    </row>
    <row r="62" spans="5:9">
      <c r="E62" s="33"/>
      <c r="F62" s="33"/>
      <c r="H62" s="33"/>
      <c r="I62" s="33"/>
    </row>
    <row r="63" spans="5:9">
      <c r="E63" s="33"/>
      <c r="F63" s="33"/>
      <c r="H63" s="33"/>
      <c r="I63" s="33"/>
    </row>
    <row r="64" spans="5:9">
      <c r="E64" s="33"/>
      <c r="F64" s="33"/>
      <c r="H64" s="33"/>
      <c r="I64" s="33"/>
    </row>
    <row r="65" spans="5:9">
      <c r="E65" s="33"/>
      <c r="F65" s="33"/>
      <c r="H65" s="33"/>
      <c r="I65" s="33"/>
    </row>
    <row r="66" spans="5:9">
      <c r="E66" s="33"/>
      <c r="F66" s="33"/>
      <c r="H66" s="33"/>
      <c r="I66" s="33"/>
    </row>
    <row r="67" spans="5:9">
      <c r="E67" s="33"/>
      <c r="F67" s="33"/>
      <c r="H67" s="33"/>
      <c r="I67" s="33"/>
    </row>
    <row r="68" spans="5:9">
      <c r="E68" s="33"/>
      <c r="F68" s="33"/>
      <c r="H68" s="33"/>
      <c r="I68" s="33"/>
    </row>
    <row r="69" spans="5:9">
      <c r="E69" s="33"/>
      <c r="F69" s="33"/>
      <c r="H69" s="33"/>
      <c r="I69" s="33"/>
    </row>
    <row r="70" spans="5:9">
      <c r="E70" s="33"/>
      <c r="F70" s="33"/>
      <c r="H70" s="33"/>
      <c r="I70" s="33"/>
    </row>
    <row r="71" spans="5:9">
      <c r="E71" s="33"/>
      <c r="F71" s="33"/>
      <c r="H71" s="33"/>
      <c r="I71" s="33"/>
    </row>
    <row r="72" spans="5:9">
      <c r="E72" s="33"/>
      <c r="F72" s="33"/>
      <c r="H72" s="33"/>
      <c r="I72" s="33"/>
    </row>
    <row r="73" spans="5:9">
      <c r="E73" s="33"/>
      <c r="F73" s="33"/>
      <c r="H73" s="33"/>
      <c r="I73" s="33"/>
    </row>
    <row r="74" spans="5:9">
      <c r="E74" s="33"/>
      <c r="F74" s="33"/>
      <c r="H74" s="33"/>
      <c r="I74" s="33"/>
    </row>
    <row r="75" spans="5:9">
      <c r="E75" s="33"/>
      <c r="F75" s="33"/>
      <c r="H75" s="33"/>
      <c r="I75" s="33"/>
    </row>
    <row r="76" spans="5:9">
      <c r="E76" s="33"/>
      <c r="F76" s="33"/>
      <c r="H76" s="33"/>
      <c r="I76" s="33"/>
    </row>
    <row r="77" spans="5:9">
      <c r="E77" s="33"/>
      <c r="F77" s="33"/>
      <c r="H77" s="33"/>
      <c r="I77" s="33"/>
    </row>
    <row r="78" spans="5:9">
      <c r="E78" s="33"/>
      <c r="F78" s="33"/>
      <c r="H78" s="33"/>
      <c r="I78" s="33"/>
    </row>
    <row r="79" spans="5:9">
      <c r="E79" s="33"/>
      <c r="F79" s="33"/>
      <c r="H79" s="33"/>
      <c r="I79" s="33"/>
    </row>
    <row r="80" spans="5:9">
      <c r="E80" s="33"/>
      <c r="F80" s="33"/>
      <c r="H80" s="33"/>
      <c r="I80" s="33"/>
    </row>
    <row r="81" spans="5:9">
      <c r="E81" s="33"/>
      <c r="F81" s="33"/>
      <c r="H81" s="33"/>
      <c r="I81" s="33"/>
    </row>
    <row r="82" spans="5:9">
      <c r="E82" s="33"/>
      <c r="F82" s="33"/>
      <c r="H82" s="33"/>
      <c r="I82" s="33"/>
    </row>
    <row r="83" spans="5:9">
      <c r="E83" s="33"/>
      <c r="F83" s="33"/>
      <c r="H83" s="33"/>
      <c r="I83" s="33"/>
    </row>
    <row r="84" spans="5:9">
      <c r="E84" s="33"/>
      <c r="F84" s="33"/>
      <c r="H84" s="33"/>
      <c r="I84" s="33"/>
    </row>
    <row r="85" spans="5:9">
      <c r="E85" s="33"/>
      <c r="F85" s="33"/>
      <c r="H85" s="33"/>
      <c r="I85" s="33"/>
    </row>
    <row r="86" spans="5:9">
      <c r="E86" s="33"/>
      <c r="F86" s="33"/>
      <c r="H86" s="33"/>
      <c r="I86" s="33"/>
    </row>
    <row r="87" spans="5:9">
      <c r="E87" s="33"/>
      <c r="F87" s="33"/>
      <c r="H87" s="33"/>
      <c r="I87" s="33"/>
    </row>
    <row r="88" spans="5:9">
      <c r="E88" s="33"/>
      <c r="F88" s="33"/>
      <c r="H88" s="33"/>
      <c r="I88" s="33"/>
    </row>
    <row r="89" spans="5:9">
      <c r="E89" s="33"/>
      <c r="F89" s="33"/>
      <c r="H89" s="33"/>
      <c r="I89" s="33"/>
    </row>
    <row r="90" spans="5:9">
      <c r="E90" s="33"/>
      <c r="F90" s="33"/>
      <c r="H90" s="33"/>
      <c r="I90" s="33"/>
    </row>
    <row r="91" spans="5:9">
      <c r="E91" s="33"/>
      <c r="F91" s="33"/>
      <c r="H91" s="33"/>
      <c r="I91" s="33"/>
    </row>
    <row r="92" spans="5:9">
      <c r="E92" s="33"/>
      <c r="F92" s="33"/>
      <c r="H92" s="33"/>
      <c r="I92" s="33"/>
    </row>
    <row r="93" spans="5:9">
      <c r="E93" s="33"/>
      <c r="F93" s="33"/>
      <c r="H93" s="33"/>
      <c r="I93" s="33"/>
    </row>
    <row r="94" spans="5:9">
      <c r="E94" s="33"/>
      <c r="F94" s="33"/>
      <c r="H94" s="33"/>
      <c r="I94" s="33"/>
    </row>
    <row r="95" spans="5:9">
      <c r="E95" s="33"/>
      <c r="F95" s="33"/>
      <c r="H95" s="33"/>
      <c r="I95" s="33"/>
    </row>
    <row r="96" spans="5:9">
      <c r="E96" s="33"/>
      <c r="F96" s="33"/>
      <c r="H96" s="33"/>
      <c r="I96" s="33"/>
    </row>
    <row r="97" spans="5:9">
      <c r="E97" s="33"/>
      <c r="F97" s="33"/>
      <c r="H97" s="33"/>
      <c r="I97" s="33"/>
    </row>
    <row r="98" spans="5:9">
      <c r="E98" s="33"/>
      <c r="F98" s="33"/>
      <c r="H98" s="33"/>
      <c r="I98" s="33"/>
    </row>
    <row r="99" spans="5:9">
      <c r="E99" s="33"/>
      <c r="F99" s="33"/>
      <c r="H99" s="33"/>
      <c r="I99" s="33"/>
    </row>
    <row r="100" spans="5:9">
      <c r="E100" s="33"/>
      <c r="F100" s="33"/>
      <c r="H100" s="33"/>
      <c r="I100" s="33"/>
    </row>
    <row r="101" spans="5:9">
      <c r="E101" s="33"/>
      <c r="F101" s="33"/>
      <c r="H101" s="33"/>
      <c r="I101" s="33"/>
    </row>
    <row r="102" spans="5:9">
      <c r="E102" s="33"/>
      <c r="F102" s="33"/>
      <c r="H102" s="33"/>
      <c r="I102" s="33"/>
    </row>
    <row r="103" spans="5:9">
      <c r="E103" s="33"/>
      <c r="F103" s="33"/>
      <c r="H103" s="33"/>
      <c r="I103" s="33"/>
    </row>
    <row r="104" spans="5:9">
      <c r="E104" s="33"/>
      <c r="F104" s="33"/>
      <c r="H104" s="33"/>
      <c r="I104" s="33"/>
    </row>
    <row r="105" spans="5:9">
      <c r="E105" s="33"/>
      <c r="F105" s="33"/>
      <c r="H105" s="33"/>
      <c r="I105" s="33"/>
    </row>
    <row r="106" spans="5:9">
      <c r="E106" s="33"/>
      <c r="F106" s="33"/>
      <c r="H106" s="33"/>
      <c r="I106" s="33"/>
    </row>
    <row r="107" spans="5:9">
      <c r="E107" s="33"/>
      <c r="F107" s="33"/>
      <c r="H107" s="33"/>
      <c r="I107" s="33"/>
    </row>
    <row r="108" spans="5:9">
      <c r="E108" s="33"/>
      <c r="F108" s="33"/>
      <c r="H108" s="33"/>
      <c r="I108" s="33"/>
    </row>
    <row r="109" spans="5:9">
      <c r="E109" s="33"/>
      <c r="F109" s="33"/>
      <c r="H109" s="33"/>
      <c r="I109" s="33"/>
    </row>
    <row r="110" spans="5:9">
      <c r="E110" s="33"/>
      <c r="F110" s="33"/>
      <c r="H110" s="33"/>
      <c r="I110" s="33"/>
    </row>
    <row r="111" spans="5:9">
      <c r="E111" s="33"/>
      <c r="F111" s="33"/>
      <c r="H111" s="33"/>
      <c r="I111" s="33"/>
    </row>
    <row r="112" spans="5:9">
      <c r="E112" s="33"/>
      <c r="F112" s="33"/>
      <c r="H112" s="33"/>
      <c r="I112" s="33"/>
    </row>
    <row r="113" spans="5:9">
      <c r="E113" s="33"/>
      <c r="F113" s="33"/>
      <c r="H113" s="33"/>
      <c r="I113" s="33"/>
    </row>
    <row r="114" spans="5:9">
      <c r="E114" s="33"/>
      <c r="F114" s="33"/>
      <c r="H114" s="33"/>
      <c r="I114" s="33"/>
    </row>
    <row r="115" spans="5:9">
      <c r="E115" s="33"/>
      <c r="F115" s="33"/>
      <c r="H115" s="33"/>
      <c r="I115" s="33"/>
    </row>
    <row r="116" spans="5:9">
      <c r="E116" s="33"/>
      <c r="F116" s="33"/>
      <c r="H116" s="33"/>
      <c r="I116" s="33"/>
    </row>
    <row r="117" spans="5:9">
      <c r="E117" s="33"/>
      <c r="F117" s="33"/>
      <c r="H117" s="33"/>
      <c r="I117" s="33"/>
    </row>
    <row r="118" spans="5:9">
      <c r="E118" s="33"/>
      <c r="F118" s="33"/>
      <c r="H118" s="33"/>
      <c r="I118" s="33"/>
    </row>
    <row r="119" spans="5:9">
      <c r="E119" s="33"/>
      <c r="F119" s="33"/>
      <c r="H119" s="33"/>
      <c r="I119" s="33"/>
    </row>
    <row r="120" spans="5:9">
      <c r="E120" s="33"/>
      <c r="F120" s="33"/>
      <c r="H120" s="33"/>
      <c r="I120" s="33"/>
    </row>
    <row r="121" spans="5:9">
      <c r="E121" s="33"/>
      <c r="F121" s="33"/>
      <c r="H121" s="33"/>
      <c r="I121" s="33"/>
    </row>
    <row r="122" spans="5:9">
      <c r="E122" s="33"/>
      <c r="F122" s="33"/>
      <c r="H122" s="33"/>
      <c r="I122" s="33"/>
    </row>
    <row r="123" spans="5:9">
      <c r="E123" s="33"/>
      <c r="F123" s="33"/>
      <c r="H123" s="33"/>
      <c r="I123" s="33"/>
    </row>
    <row r="124" spans="5:9">
      <c r="E124" s="33"/>
      <c r="F124" s="33"/>
      <c r="H124" s="33"/>
      <c r="I124" s="33"/>
    </row>
    <row r="125" spans="5:9">
      <c r="E125" s="33"/>
      <c r="F125" s="33"/>
      <c r="H125" s="33"/>
      <c r="I125" s="33"/>
    </row>
    <row r="126" spans="5:9">
      <c r="E126" s="33"/>
      <c r="F126" s="33"/>
      <c r="H126" s="33"/>
      <c r="I126" s="33"/>
    </row>
    <row r="127" spans="5:9">
      <c r="E127" s="33"/>
      <c r="F127" s="33"/>
      <c r="H127" s="33"/>
      <c r="I127" s="33"/>
    </row>
    <row r="128" spans="5:9">
      <c r="E128" s="33"/>
      <c r="F128" s="33"/>
      <c r="H128" s="33"/>
      <c r="I128" s="33"/>
    </row>
    <row r="129" spans="5:9">
      <c r="E129" s="33"/>
      <c r="F129" s="33"/>
      <c r="H129" s="33"/>
      <c r="I129" s="33"/>
    </row>
    <row r="130" spans="5:9">
      <c r="E130" s="33"/>
      <c r="F130" s="33"/>
      <c r="H130" s="33"/>
      <c r="I130" s="33"/>
    </row>
    <row r="131" spans="5:9">
      <c r="E131" s="33"/>
      <c r="F131" s="33"/>
      <c r="H131" s="33"/>
      <c r="I131" s="33"/>
    </row>
    <row r="132" spans="5:9">
      <c r="E132" s="33"/>
      <c r="F132" s="33"/>
      <c r="H132" s="33"/>
      <c r="I132" s="33"/>
    </row>
    <row r="133" spans="5:9">
      <c r="E133" s="33"/>
      <c r="F133" s="33"/>
      <c r="H133" s="33"/>
      <c r="I133" s="33"/>
    </row>
    <row r="134" spans="5:9">
      <c r="E134" s="33"/>
      <c r="F134" s="33"/>
      <c r="H134" s="33"/>
      <c r="I134" s="33"/>
    </row>
    <row r="135" spans="5:9">
      <c r="E135" s="33"/>
      <c r="F135" s="33"/>
      <c r="H135" s="33"/>
      <c r="I135" s="33"/>
    </row>
    <row r="136" spans="5:9">
      <c r="E136" s="33"/>
      <c r="F136" s="33"/>
      <c r="H136" s="33"/>
      <c r="I136" s="33"/>
    </row>
    <row r="137" spans="5:9">
      <c r="E137" s="33"/>
      <c r="F137" s="33"/>
      <c r="H137" s="33"/>
      <c r="I137" s="33"/>
    </row>
    <row r="138" spans="5:9">
      <c r="E138" s="33"/>
      <c r="F138" s="33"/>
      <c r="H138" s="33"/>
      <c r="I138" s="33"/>
    </row>
    <row r="139" spans="5:9">
      <c r="E139" s="33"/>
      <c r="F139" s="33"/>
      <c r="H139" s="33"/>
      <c r="I139" s="33"/>
    </row>
    <row r="140" spans="5:9">
      <c r="E140" s="33"/>
      <c r="F140" s="33"/>
      <c r="H140" s="33"/>
      <c r="I140" s="33"/>
    </row>
    <row r="141" spans="5:9">
      <c r="E141" s="33"/>
      <c r="F141" s="33"/>
      <c r="H141" s="33"/>
      <c r="I141" s="33"/>
    </row>
    <row r="142" spans="5:9">
      <c r="E142" s="33"/>
      <c r="F142" s="33"/>
      <c r="H142" s="33"/>
      <c r="I142" s="33"/>
    </row>
    <row r="143" spans="5:9">
      <c r="E143" s="33"/>
      <c r="F143" s="33"/>
      <c r="H143" s="33"/>
      <c r="I143" s="33"/>
    </row>
    <row r="144" spans="5:9">
      <c r="E144" s="33"/>
      <c r="F144" s="33"/>
      <c r="H144" s="33"/>
      <c r="I144" s="33"/>
    </row>
    <row r="145" spans="5:9">
      <c r="E145" s="33"/>
      <c r="F145" s="33"/>
      <c r="H145" s="33"/>
      <c r="I145" s="33"/>
    </row>
    <row r="146" spans="5:9">
      <c r="E146" s="33"/>
      <c r="F146" s="33"/>
      <c r="H146" s="33"/>
      <c r="I146" s="33"/>
    </row>
    <row r="147" spans="5:9">
      <c r="E147" s="33"/>
      <c r="F147" s="33"/>
      <c r="H147" s="33"/>
      <c r="I147" s="33"/>
    </row>
    <row r="148" spans="5:9">
      <c r="E148" s="33"/>
      <c r="F148" s="33"/>
      <c r="H148" s="33"/>
      <c r="I148" s="33"/>
    </row>
    <row r="149" spans="5:9">
      <c r="E149" s="33"/>
      <c r="F149" s="33"/>
      <c r="H149" s="33"/>
      <c r="I149" s="33"/>
    </row>
    <row r="150" spans="5:9">
      <c r="E150" s="33"/>
      <c r="F150" s="33"/>
      <c r="H150" s="33"/>
      <c r="I150" s="33"/>
    </row>
    <row r="151" spans="5:9">
      <c r="E151" s="33"/>
      <c r="F151" s="33"/>
      <c r="H151" s="33"/>
      <c r="I151" s="33"/>
    </row>
    <row r="152" spans="5:9">
      <c r="E152" s="33"/>
      <c r="F152" s="33"/>
      <c r="H152" s="33"/>
      <c r="I152" s="33"/>
    </row>
    <row r="153" spans="5:9">
      <c r="E153" s="33"/>
      <c r="F153" s="33"/>
      <c r="H153" s="33"/>
      <c r="I153" s="33"/>
    </row>
    <row r="154" spans="5:9">
      <c r="E154" s="33"/>
      <c r="F154" s="33"/>
      <c r="H154" s="33"/>
      <c r="I154" s="33"/>
    </row>
    <row r="155" spans="5:9">
      <c r="E155" s="33"/>
      <c r="F155" s="33"/>
      <c r="H155" s="33"/>
      <c r="I155" s="33"/>
    </row>
    <row r="156" spans="5:9">
      <c r="E156" s="33"/>
      <c r="F156" s="33"/>
      <c r="H156" s="33"/>
      <c r="I156" s="33"/>
    </row>
    <row r="157" spans="5:9">
      <c r="E157" s="33"/>
      <c r="F157" s="33"/>
      <c r="H157" s="33"/>
      <c r="I157" s="33"/>
    </row>
    <row r="158" spans="5:9">
      <c r="E158" s="33"/>
      <c r="F158" s="33"/>
      <c r="H158" s="33"/>
      <c r="I158" s="33"/>
    </row>
    <row r="159" spans="5:9">
      <c r="E159" s="33"/>
      <c r="F159" s="33"/>
      <c r="H159" s="33"/>
      <c r="I159" s="33"/>
    </row>
    <row r="160" spans="5:9">
      <c r="E160" s="33"/>
      <c r="F160" s="33"/>
      <c r="H160" s="33"/>
      <c r="I160" s="33"/>
    </row>
    <row r="161" spans="5:9">
      <c r="E161" s="33"/>
      <c r="F161" s="33"/>
      <c r="H161" s="33"/>
      <c r="I161" s="33"/>
    </row>
    <row r="162" spans="5:9">
      <c r="E162" s="33"/>
      <c r="F162" s="33"/>
      <c r="H162" s="33"/>
      <c r="I162" s="33"/>
    </row>
    <row r="163" spans="5:9">
      <c r="E163" s="33"/>
      <c r="F163" s="33"/>
      <c r="H163" s="33"/>
      <c r="I163" s="33"/>
    </row>
    <row r="164" spans="5:9">
      <c r="E164" s="33"/>
      <c r="F164" s="33"/>
      <c r="H164" s="33"/>
      <c r="I164" s="33"/>
    </row>
    <row r="165" spans="5:9">
      <c r="E165" s="33"/>
      <c r="F165" s="33"/>
      <c r="H165" s="33"/>
      <c r="I165" s="33"/>
    </row>
    <row r="166" spans="5:9">
      <c r="E166" s="33"/>
      <c r="F166" s="33"/>
      <c r="H166" s="33"/>
      <c r="I166" s="33"/>
    </row>
    <row r="167" spans="5:9">
      <c r="E167" s="33"/>
      <c r="F167" s="33"/>
      <c r="H167" s="33"/>
      <c r="I167" s="33"/>
    </row>
    <row r="168" spans="5:9">
      <c r="E168" s="33"/>
      <c r="F168" s="33"/>
      <c r="H168" s="33"/>
      <c r="I168" s="33"/>
    </row>
    <row r="169" spans="5:9">
      <c r="E169" s="33"/>
      <c r="F169" s="33"/>
      <c r="H169" s="33"/>
      <c r="I169" s="33"/>
    </row>
    <row r="170" spans="5:9">
      <c r="E170" s="33"/>
      <c r="F170" s="33"/>
      <c r="H170" s="33"/>
      <c r="I170" s="33"/>
    </row>
    <row r="171" spans="5:9">
      <c r="E171" s="33"/>
      <c r="F171" s="33"/>
      <c r="H171" s="33"/>
      <c r="I171" s="33"/>
    </row>
    <row r="172" spans="5:9">
      <c r="E172" s="33"/>
      <c r="F172" s="33"/>
      <c r="H172" s="33"/>
      <c r="I172" s="33"/>
    </row>
    <row r="173" spans="5:9">
      <c r="E173" s="33"/>
      <c r="F173" s="33"/>
      <c r="H173" s="33"/>
      <c r="I173" s="33"/>
    </row>
    <row r="174" spans="5:9">
      <c r="E174" s="33"/>
      <c r="F174" s="33"/>
      <c r="H174" s="33"/>
      <c r="I174" s="33"/>
    </row>
    <row r="175" spans="5:9">
      <c r="E175" s="33"/>
      <c r="F175" s="33"/>
      <c r="H175" s="33"/>
      <c r="I175" s="33"/>
    </row>
    <row r="176" spans="5:9">
      <c r="E176" s="33"/>
      <c r="F176" s="33"/>
      <c r="H176" s="33"/>
      <c r="I176" s="33"/>
    </row>
    <row r="177" spans="5:9">
      <c r="E177" s="33"/>
      <c r="F177" s="33"/>
      <c r="H177" s="33"/>
      <c r="I177" s="33"/>
    </row>
    <row r="178" spans="5:9">
      <c r="E178" s="33"/>
      <c r="F178" s="33"/>
      <c r="H178" s="33"/>
      <c r="I178" s="33"/>
    </row>
    <row r="179" spans="5:9">
      <c r="E179" s="33"/>
      <c r="F179" s="33"/>
      <c r="H179" s="33"/>
      <c r="I179" s="33"/>
    </row>
    <row r="180" spans="5:9">
      <c r="E180" s="33"/>
      <c r="F180" s="33"/>
      <c r="H180" s="33"/>
      <c r="I180" s="33"/>
    </row>
    <row r="181" spans="5:9">
      <c r="E181" s="33"/>
      <c r="F181" s="33"/>
      <c r="H181" s="33"/>
      <c r="I181" s="33"/>
    </row>
    <row r="182" spans="5:9">
      <c r="E182" s="33"/>
      <c r="F182" s="33"/>
      <c r="H182" s="33"/>
      <c r="I182" s="33"/>
    </row>
    <row r="183" spans="5:9">
      <c r="E183" s="33"/>
      <c r="F183" s="33"/>
      <c r="H183" s="33"/>
      <c r="I183" s="33"/>
    </row>
    <row r="184" spans="5:9">
      <c r="E184" s="33"/>
      <c r="F184" s="33"/>
      <c r="H184" s="33"/>
      <c r="I184" s="33"/>
    </row>
    <row r="185" spans="5:9">
      <c r="E185" s="33"/>
      <c r="F185" s="33"/>
      <c r="H185" s="33"/>
      <c r="I185" s="33"/>
    </row>
    <row r="186" spans="5:9">
      <c r="E186" s="33"/>
      <c r="F186" s="33"/>
      <c r="H186" s="33"/>
      <c r="I186" s="33"/>
    </row>
    <row r="187" spans="5:9">
      <c r="E187" s="33"/>
      <c r="F187" s="33"/>
      <c r="H187" s="33"/>
      <c r="I187" s="33"/>
    </row>
    <row r="188" spans="5:9">
      <c r="E188" s="33"/>
      <c r="F188" s="33"/>
      <c r="H188" s="33"/>
      <c r="I188" s="33"/>
    </row>
    <row r="189" spans="5:9">
      <c r="E189" s="33"/>
      <c r="F189" s="33"/>
      <c r="H189" s="33"/>
      <c r="I189" s="33"/>
    </row>
    <row r="190" spans="5:9">
      <c r="E190" s="33"/>
      <c r="F190" s="33"/>
      <c r="H190" s="33"/>
      <c r="I190" s="33"/>
    </row>
    <row r="191" spans="5:9">
      <c r="E191" s="33"/>
      <c r="F191" s="33"/>
      <c r="H191" s="33"/>
      <c r="I191" s="33"/>
    </row>
    <row r="192" spans="5:9">
      <c r="E192" s="33"/>
      <c r="F192" s="33"/>
      <c r="H192" s="33"/>
      <c r="I192" s="33"/>
    </row>
    <row r="193" spans="5:9">
      <c r="E193" s="33"/>
      <c r="F193" s="33"/>
      <c r="H193" s="33"/>
      <c r="I193" s="33"/>
    </row>
    <row r="194" spans="5:9">
      <c r="E194" s="33"/>
      <c r="F194" s="33"/>
      <c r="H194" s="33"/>
      <c r="I194" s="33"/>
    </row>
    <row r="195" spans="5:9">
      <c r="E195" s="33"/>
      <c r="F195" s="33"/>
      <c r="H195" s="33"/>
      <c r="I195" s="33"/>
    </row>
    <row r="196" spans="5:9">
      <c r="E196" s="33"/>
      <c r="F196" s="33"/>
      <c r="H196" s="33"/>
      <c r="I196" s="33"/>
    </row>
    <row r="197" spans="5:9">
      <c r="E197" s="33"/>
      <c r="F197" s="33"/>
      <c r="H197" s="33"/>
      <c r="I197" s="33"/>
    </row>
    <row r="198" spans="5:9">
      <c r="E198" s="33"/>
      <c r="F198" s="33"/>
      <c r="H198" s="33"/>
      <c r="I198" s="33"/>
    </row>
    <row r="199" spans="5:9">
      <c r="E199" s="33"/>
      <c r="F199" s="33"/>
      <c r="H199" s="33"/>
      <c r="I199" s="33"/>
    </row>
    <row r="200" spans="5:9">
      <c r="E200" s="33"/>
      <c r="F200" s="33"/>
      <c r="H200" s="33"/>
      <c r="I200" s="33"/>
    </row>
    <row r="201" spans="5:9">
      <c r="E201" s="33"/>
      <c r="F201" s="33"/>
      <c r="H201" s="33"/>
      <c r="I201" s="33"/>
    </row>
    <row r="202" spans="5:9">
      <c r="E202" s="33"/>
      <c r="F202" s="33"/>
      <c r="H202" s="33"/>
      <c r="I202" s="33"/>
    </row>
    <row r="203" spans="5:9">
      <c r="E203" s="33"/>
      <c r="F203" s="33"/>
      <c r="H203" s="33"/>
      <c r="I203" s="33"/>
    </row>
    <row r="204" spans="5:9">
      <c r="E204" s="33"/>
      <c r="F204" s="33"/>
      <c r="H204" s="33"/>
      <c r="I204" s="33"/>
    </row>
    <row r="205" spans="5:9">
      <c r="E205" s="33"/>
      <c r="F205" s="33"/>
      <c r="H205" s="33"/>
      <c r="I205" s="33"/>
    </row>
    <row r="206" spans="5:9">
      <c r="E206" s="33"/>
      <c r="F206" s="33"/>
      <c r="H206" s="33"/>
      <c r="I206" s="33"/>
    </row>
    <row r="207" spans="5:9">
      <c r="E207" s="33"/>
      <c r="F207" s="33"/>
      <c r="H207" s="33"/>
      <c r="I207" s="33"/>
    </row>
    <row r="208" spans="5:9">
      <c r="E208" s="33"/>
      <c r="F208" s="33"/>
      <c r="H208" s="33"/>
      <c r="I208" s="33"/>
    </row>
    <row r="209" spans="5:9">
      <c r="E209" s="33"/>
      <c r="F209" s="33"/>
      <c r="H209" s="33"/>
      <c r="I209" s="33"/>
    </row>
    <row r="210" spans="5:9">
      <c r="E210" s="33"/>
      <c r="F210" s="33"/>
      <c r="H210" s="33"/>
      <c r="I210" s="33"/>
    </row>
    <row r="211" spans="5:9">
      <c r="E211" s="33"/>
      <c r="F211" s="33"/>
      <c r="H211" s="33"/>
      <c r="I211" s="33"/>
    </row>
    <row r="212" spans="5:9">
      <c r="E212" s="33"/>
      <c r="F212" s="33"/>
      <c r="H212" s="33"/>
      <c r="I212" s="33"/>
    </row>
    <row r="213" spans="5:9">
      <c r="E213" s="33"/>
      <c r="F213" s="33"/>
      <c r="H213" s="33"/>
      <c r="I213" s="33"/>
    </row>
    <row r="214" spans="5:9">
      <c r="E214" s="33"/>
      <c r="F214" s="33"/>
      <c r="H214" s="33"/>
      <c r="I214" s="33"/>
    </row>
    <row r="215" spans="5:9">
      <c r="E215" s="33"/>
      <c r="F215" s="33"/>
      <c r="H215" s="33"/>
      <c r="I215" s="33"/>
    </row>
    <row r="216" spans="5:9">
      <c r="E216" s="33"/>
      <c r="F216" s="33"/>
      <c r="H216" s="33"/>
      <c r="I216" s="33"/>
    </row>
    <row r="217" spans="5:9">
      <c r="E217" s="33"/>
      <c r="F217" s="33"/>
      <c r="H217" s="33"/>
      <c r="I217" s="33"/>
    </row>
    <row r="218" spans="5:9">
      <c r="E218" s="33"/>
      <c r="F218" s="33"/>
      <c r="H218" s="33"/>
      <c r="I218" s="33"/>
    </row>
    <row r="219" spans="5:9">
      <c r="E219" s="33"/>
      <c r="F219" s="33"/>
      <c r="H219" s="33"/>
      <c r="I219" s="33"/>
    </row>
    <row r="220" spans="5:9">
      <c r="E220" s="33"/>
      <c r="F220" s="33"/>
      <c r="H220" s="33"/>
      <c r="I220" s="33"/>
    </row>
    <row r="221" spans="5:9">
      <c r="E221" s="33"/>
      <c r="F221" s="33"/>
      <c r="H221" s="33"/>
      <c r="I221" s="33"/>
    </row>
    <row r="222" spans="5:9">
      <c r="E222" s="33"/>
      <c r="F222" s="33"/>
      <c r="H222" s="33"/>
      <c r="I222" s="33"/>
    </row>
    <row r="223" spans="5:9">
      <c r="E223" s="33"/>
      <c r="F223" s="33"/>
      <c r="H223" s="33"/>
      <c r="I223" s="33"/>
    </row>
    <row r="224" spans="5:9">
      <c r="E224" s="33"/>
      <c r="F224" s="33"/>
      <c r="H224" s="33"/>
      <c r="I224" s="33"/>
    </row>
    <row r="225" spans="5:9">
      <c r="E225" s="33"/>
      <c r="F225" s="33"/>
      <c r="H225" s="33"/>
      <c r="I225" s="33"/>
    </row>
    <row r="226" spans="5:9">
      <c r="E226" s="33"/>
      <c r="F226" s="33"/>
      <c r="H226" s="33"/>
      <c r="I226" s="33"/>
    </row>
    <row r="227" spans="5:9">
      <c r="E227" s="33"/>
      <c r="F227" s="33"/>
      <c r="H227" s="33"/>
      <c r="I227" s="33"/>
    </row>
    <row r="228" spans="5:9">
      <c r="E228" s="33"/>
      <c r="F228" s="33"/>
      <c r="H228" s="33"/>
      <c r="I228" s="33"/>
    </row>
    <row r="229" spans="5:9">
      <c r="E229" s="33"/>
      <c r="F229" s="33"/>
      <c r="H229" s="33"/>
      <c r="I229" s="33"/>
    </row>
    <row r="230" spans="5:9">
      <c r="E230" s="33"/>
      <c r="F230" s="33"/>
      <c r="H230" s="33"/>
      <c r="I230" s="33"/>
    </row>
  </sheetData>
  <mergeCells count="28">
    <mergeCell ref="A3:F3"/>
    <mergeCell ref="A16:E16"/>
    <mergeCell ref="A17:E17"/>
    <mergeCell ref="A18:E18"/>
    <mergeCell ref="A21:I21"/>
    <mergeCell ref="A23:I23"/>
    <mergeCell ref="A26:E26"/>
    <mergeCell ref="G26:H26"/>
    <mergeCell ref="A27:H27"/>
    <mergeCell ref="A28:H28"/>
    <mergeCell ref="A30:I30"/>
    <mergeCell ref="A33:E33"/>
    <mergeCell ref="G33:H33"/>
    <mergeCell ref="A34:H34"/>
    <mergeCell ref="A35:H35"/>
    <mergeCell ref="A37:I37"/>
    <mergeCell ref="A43:E43"/>
    <mergeCell ref="A44:H44"/>
    <mergeCell ref="A45:H45"/>
    <mergeCell ref="A47:I47"/>
    <mergeCell ref="A50:E50"/>
    <mergeCell ref="A51:H51"/>
    <mergeCell ref="A52:H52"/>
    <mergeCell ref="A54:H54"/>
    <mergeCell ref="A55:H55"/>
    <mergeCell ref="A56:H56"/>
    <mergeCell ref="A57:H57"/>
    <mergeCell ref="A1:F2"/>
  </mergeCells>
  <pageMargins left="0.75" right="0.75" top="1" bottom="1" header="0" footer="0"/>
  <pageSetup paperSize="1" scale="9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1"/>
  <sheetViews>
    <sheetView view="pageBreakPreview" zoomScaleNormal="100" workbookViewId="0">
      <selection activeCell="F33" sqref="F33"/>
    </sheetView>
  </sheetViews>
  <sheetFormatPr defaultColWidth="14.4285714285714" defaultRowHeight="15" outlineLevelCol="5"/>
  <cols>
    <col min="1" max="1" width="6.14285714285714" customWidth="1"/>
    <col min="2" max="2" width="68.2857142857143" customWidth="1"/>
    <col min="3" max="3" width="11.1428571428571" customWidth="1"/>
    <col min="4" max="4" width="8.85714285714286" customWidth="1"/>
    <col min="5" max="5" width="10.4285714285714" customWidth="1"/>
    <col min="6" max="6" width="14.4285714285714" customWidth="1"/>
  </cols>
  <sheetData>
    <row r="1" spans="1:6">
      <c r="A1" s="3" t="s">
        <v>623</v>
      </c>
      <c r="B1" s="4"/>
      <c r="C1" s="4"/>
      <c r="D1" s="4"/>
      <c r="E1" s="4"/>
      <c r="F1" s="5"/>
    </row>
    <row r="2" ht="30" spans="1:6">
      <c r="A2" s="6" t="s">
        <v>1</v>
      </c>
      <c r="B2" s="6" t="s">
        <v>2</v>
      </c>
      <c r="C2" s="7" t="s">
        <v>496</v>
      </c>
      <c r="D2" s="6" t="s">
        <v>497</v>
      </c>
      <c r="E2" s="8" t="s">
        <v>498</v>
      </c>
      <c r="F2" s="8" t="s">
        <v>499</v>
      </c>
    </row>
    <row r="3" ht="30" spans="1:6">
      <c r="A3" s="16">
        <v>1</v>
      </c>
      <c r="B3" s="14" t="s">
        <v>624</v>
      </c>
      <c r="C3" s="16" t="s">
        <v>625</v>
      </c>
      <c r="D3" s="16">
        <v>4</v>
      </c>
      <c r="E3" s="17">
        <v>12.7</v>
      </c>
      <c r="F3" s="36">
        <f>E3*D3</f>
        <v>50.8</v>
      </c>
    </row>
    <row r="4" spans="1:6">
      <c r="A4" s="16">
        <v>2</v>
      </c>
      <c r="B4" s="14" t="s">
        <v>626</v>
      </c>
      <c r="C4" s="16" t="s">
        <v>496</v>
      </c>
      <c r="D4" s="16">
        <v>2</v>
      </c>
      <c r="E4" s="17">
        <v>25.96</v>
      </c>
      <c r="F4" s="36">
        <f>E4*D4</f>
        <v>51.92</v>
      </c>
    </row>
    <row r="5" ht="45" spans="1:6">
      <c r="A5" s="16">
        <v>3</v>
      </c>
      <c r="B5" s="37" t="s">
        <v>627</v>
      </c>
      <c r="C5" s="38" t="s">
        <v>496</v>
      </c>
      <c r="D5" s="38">
        <v>2</v>
      </c>
      <c r="E5" s="17">
        <v>7.79</v>
      </c>
      <c r="F5" s="36">
        <f>E5*D5</f>
        <v>15.58</v>
      </c>
    </row>
    <row r="6" spans="1:6">
      <c r="A6" s="24" t="s">
        <v>628</v>
      </c>
      <c r="B6" s="4"/>
      <c r="C6" s="4"/>
      <c r="D6" s="4"/>
      <c r="E6" s="5"/>
      <c r="F6" s="39">
        <f>SUM(F3:F5)</f>
        <v>118.3</v>
      </c>
    </row>
    <row r="7" spans="1:6">
      <c r="A7" s="24" t="s">
        <v>629</v>
      </c>
      <c r="B7" s="4"/>
      <c r="C7" s="4"/>
      <c r="D7" s="4"/>
      <c r="E7" s="5"/>
      <c r="F7" s="39">
        <f>(F6/7)</f>
        <v>16.9</v>
      </c>
    </row>
    <row r="8" spans="1:6">
      <c r="A8" s="26"/>
      <c r="B8" s="26"/>
      <c r="C8" s="26"/>
      <c r="D8" s="26"/>
      <c r="E8" s="27"/>
      <c r="F8" s="27"/>
    </row>
    <row r="9" spans="1:6">
      <c r="A9" s="3" t="s">
        <v>630</v>
      </c>
      <c r="B9" s="4"/>
      <c r="C9" s="4"/>
      <c r="D9" s="4"/>
      <c r="E9" s="4"/>
      <c r="F9" s="5"/>
    </row>
    <row r="10" ht="30" spans="1:6">
      <c r="A10" s="6" t="s">
        <v>1</v>
      </c>
      <c r="B10" s="6" t="s">
        <v>2</v>
      </c>
      <c r="C10" s="7" t="s">
        <v>496</v>
      </c>
      <c r="D10" s="6" t="s">
        <v>497</v>
      </c>
      <c r="E10" s="8" t="s">
        <v>498</v>
      </c>
      <c r="F10" s="8" t="s">
        <v>499</v>
      </c>
    </row>
    <row r="11" ht="45" spans="1:6">
      <c r="A11" s="16">
        <v>1</v>
      </c>
      <c r="B11" s="14" t="s">
        <v>631</v>
      </c>
      <c r="C11" s="16" t="s">
        <v>625</v>
      </c>
      <c r="D11" s="16">
        <v>12</v>
      </c>
      <c r="E11" s="17">
        <v>4.48</v>
      </c>
      <c r="F11" s="36">
        <f t="shared" ref="F11" si="0">E11*D11</f>
        <v>53.76</v>
      </c>
    </row>
    <row r="12" spans="1:6">
      <c r="A12" s="24" t="s">
        <v>628</v>
      </c>
      <c r="B12" s="4"/>
      <c r="C12" s="4"/>
      <c r="D12" s="4"/>
      <c r="E12" s="5"/>
      <c r="F12" s="39">
        <f>SUM(F11:F11)</f>
        <v>53.76</v>
      </c>
    </row>
    <row r="13" spans="1:6">
      <c r="A13" s="24" t="s">
        <v>629</v>
      </c>
      <c r="B13" s="4"/>
      <c r="C13" s="4"/>
      <c r="D13" s="4"/>
      <c r="E13" s="5"/>
      <c r="F13" s="39">
        <f>(F12/12)</f>
        <v>4.48</v>
      </c>
    </row>
    <row r="14" spans="1:6">
      <c r="A14" s="2"/>
      <c r="B14" s="2"/>
      <c r="C14" s="2"/>
      <c r="D14" s="2"/>
      <c r="E14" s="40"/>
      <c r="F14" s="40"/>
    </row>
    <row r="15" spans="1:6">
      <c r="A15" s="3" t="s">
        <v>632</v>
      </c>
      <c r="B15" s="4"/>
      <c r="C15" s="4"/>
      <c r="D15" s="4"/>
      <c r="E15" s="4"/>
      <c r="F15" s="5"/>
    </row>
    <row r="16" ht="30" spans="1:6">
      <c r="A16" s="6" t="s">
        <v>1</v>
      </c>
      <c r="B16" s="6" t="s">
        <v>2</v>
      </c>
      <c r="C16" s="7" t="s">
        <v>496</v>
      </c>
      <c r="D16" s="6" t="s">
        <v>497</v>
      </c>
      <c r="E16" s="8" t="s">
        <v>498</v>
      </c>
      <c r="F16" s="8" t="s">
        <v>499</v>
      </c>
    </row>
    <row r="17" ht="45" spans="1:6">
      <c r="A17" s="16">
        <v>1</v>
      </c>
      <c r="B17" s="14" t="s">
        <v>631</v>
      </c>
      <c r="C17" s="16" t="s">
        <v>625</v>
      </c>
      <c r="D17" s="16">
        <v>12</v>
      </c>
      <c r="E17" s="17">
        <v>4.48</v>
      </c>
      <c r="F17" s="36">
        <f>E17*D17</f>
        <v>53.76</v>
      </c>
    </row>
    <row r="18" ht="45" spans="1:6">
      <c r="A18" s="16">
        <v>2</v>
      </c>
      <c r="B18" s="14" t="s">
        <v>627</v>
      </c>
      <c r="C18" s="16" t="s">
        <v>496</v>
      </c>
      <c r="D18" s="16">
        <v>1</v>
      </c>
      <c r="E18" s="17">
        <v>7.79</v>
      </c>
      <c r="F18" s="36">
        <f>E18*D18</f>
        <v>7.79</v>
      </c>
    </row>
    <row r="19" spans="1:6">
      <c r="A19" s="16">
        <v>3</v>
      </c>
      <c r="B19" s="14" t="s">
        <v>633</v>
      </c>
      <c r="C19" s="16" t="s">
        <v>496</v>
      </c>
      <c r="D19" s="16">
        <v>1</v>
      </c>
      <c r="E19" s="17">
        <v>362.97</v>
      </c>
      <c r="F19" s="36">
        <f>E19*D19</f>
        <v>362.97</v>
      </c>
    </row>
    <row r="20" spans="1:6">
      <c r="A20" s="16">
        <v>4</v>
      </c>
      <c r="B20" s="14" t="s">
        <v>634</v>
      </c>
      <c r="C20" s="16" t="s">
        <v>496</v>
      </c>
      <c r="D20" s="16">
        <v>312</v>
      </c>
      <c r="E20" s="17">
        <v>2.95</v>
      </c>
      <c r="F20" s="36">
        <f>E20*D20</f>
        <v>920.4</v>
      </c>
    </row>
    <row r="21" spans="1:6">
      <c r="A21" s="24" t="s">
        <v>628</v>
      </c>
      <c r="B21" s="4"/>
      <c r="C21" s="4"/>
      <c r="D21" s="4"/>
      <c r="E21" s="5"/>
      <c r="F21" s="39">
        <f>SUM(F17:F20)</f>
        <v>1344.92</v>
      </c>
    </row>
    <row r="22" spans="1:6">
      <c r="A22" s="24" t="s">
        <v>629</v>
      </c>
      <c r="B22" s="4"/>
      <c r="C22" s="4"/>
      <c r="D22" s="4"/>
      <c r="E22" s="5"/>
      <c r="F22" s="39">
        <f>(F21/12)</f>
        <v>112.076666666667</v>
      </c>
    </row>
    <row r="23" spans="1:6">
      <c r="A23" s="2"/>
      <c r="B23" s="2"/>
      <c r="C23" s="2"/>
      <c r="D23" s="2"/>
      <c r="E23" s="40"/>
      <c r="F23" s="40"/>
    </row>
    <row r="24" spans="1:6">
      <c r="A24" s="3" t="s">
        <v>635</v>
      </c>
      <c r="B24" s="4"/>
      <c r="C24" s="4"/>
      <c r="D24" s="4"/>
      <c r="E24" s="4"/>
      <c r="F24" s="5"/>
    </row>
    <row r="25" ht="30" spans="1:6">
      <c r="A25" s="6" t="s">
        <v>1</v>
      </c>
      <c r="B25" s="6" t="s">
        <v>2</v>
      </c>
      <c r="C25" s="7" t="s">
        <v>496</v>
      </c>
      <c r="D25" s="6" t="s">
        <v>497</v>
      </c>
      <c r="E25" s="8" t="s">
        <v>498</v>
      </c>
      <c r="F25" s="8" t="s">
        <v>499</v>
      </c>
    </row>
    <row r="26" spans="1:6">
      <c r="A26" s="16">
        <v>1</v>
      </c>
      <c r="B26" s="14" t="s">
        <v>636</v>
      </c>
      <c r="C26" s="16" t="s">
        <v>496</v>
      </c>
      <c r="D26" s="16">
        <v>1</v>
      </c>
      <c r="E26" s="17">
        <v>70.67</v>
      </c>
      <c r="F26" s="36">
        <f t="shared" ref="F26:F29" si="1">E26*D26</f>
        <v>70.67</v>
      </c>
    </row>
    <row r="27" ht="30" spans="1:6">
      <c r="A27" s="16">
        <v>2</v>
      </c>
      <c r="B27" s="14" t="s">
        <v>637</v>
      </c>
      <c r="C27" s="16" t="s">
        <v>496</v>
      </c>
      <c r="D27" s="16">
        <v>1</v>
      </c>
      <c r="E27" s="17">
        <v>920</v>
      </c>
      <c r="F27" s="36">
        <f t="shared" si="1"/>
        <v>920</v>
      </c>
    </row>
    <row r="28" ht="30" spans="1:6">
      <c r="A28" s="16">
        <v>3</v>
      </c>
      <c r="B28" s="14" t="s">
        <v>638</v>
      </c>
      <c r="C28" s="16" t="s">
        <v>639</v>
      </c>
      <c r="D28" s="16">
        <v>1</v>
      </c>
      <c r="E28" s="17">
        <v>139.97</v>
      </c>
      <c r="F28" s="36">
        <f t="shared" si="1"/>
        <v>139.97</v>
      </c>
    </row>
    <row r="29" ht="30" spans="1:6">
      <c r="A29" s="16">
        <v>4</v>
      </c>
      <c r="B29" s="14" t="s">
        <v>640</v>
      </c>
      <c r="C29" s="16" t="s">
        <v>496</v>
      </c>
      <c r="D29" s="16">
        <v>1</v>
      </c>
      <c r="E29" s="17">
        <v>12.55</v>
      </c>
      <c r="F29" s="36">
        <f t="shared" si="1"/>
        <v>12.55</v>
      </c>
    </row>
    <row r="30" ht="30" spans="1:6">
      <c r="A30" s="16">
        <v>5</v>
      </c>
      <c r="B30" s="14" t="s">
        <v>641</v>
      </c>
      <c r="C30" s="16" t="s">
        <v>625</v>
      </c>
      <c r="D30" s="16">
        <v>1</v>
      </c>
      <c r="E30" s="17">
        <v>29.63</v>
      </c>
      <c r="F30" s="36">
        <f t="shared" ref="F30:F31" si="2">E30*D30</f>
        <v>29.63</v>
      </c>
    </row>
    <row r="31" ht="30" spans="1:6">
      <c r="A31" s="16">
        <v>6</v>
      </c>
      <c r="B31" s="14" t="s">
        <v>624</v>
      </c>
      <c r="C31" s="16" t="s">
        <v>625</v>
      </c>
      <c r="D31" s="16">
        <v>2</v>
      </c>
      <c r="E31" s="17">
        <v>12.7</v>
      </c>
      <c r="F31" s="36">
        <f t="shared" si="2"/>
        <v>25.4</v>
      </c>
    </row>
    <row r="32" spans="1:6">
      <c r="A32" s="16">
        <v>7</v>
      </c>
      <c r="B32" s="14" t="s">
        <v>626</v>
      </c>
      <c r="C32" s="16" t="s">
        <v>496</v>
      </c>
      <c r="D32" s="16">
        <v>1</v>
      </c>
      <c r="E32" s="17">
        <v>25.96</v>
      </c>
      <c r="F32" s="36">
        <f t="shared" ref="F32" si="3">E32*D32</f>
        <v>25.96</v>
      </c>
    </row>
    <row r="33" spans="1:6">
      <c r="A33" s="41" t="s">
        <v>628</v>
      </c>
      <c r="B33" s="42"/>
      <c r="C33" s="42"/>
      <c r="D33" s="42"/>
      <c r="E33" s="43"/>
      <c r="F33" s="44">
        <f>SUM(F26:F32)</f>
        <v>1224.18</v>
      </c>
    </row>
    <row r="34" spans="1:6">
      <c r="A34" s="45" t="s">
        <v>629</v>
      </c>
      <c r="B34" s="46"/>
      <c r="C34" s="46"/>
      <c r="D34" s="46"/>
      <c r="E34" s="46"/>
      <c r="F34" s="47">
        <f>ROUND(F33/12,2)</f>
        <v>102.02</v>
      </c>
    </row>
    <row r="35" ht="32.25" customHeight="1"/>
    <row r="36" spans="5:6">
      <c r="E36" s="33"/>
      <c r="F36" s="33"/>
    </row>
    <row r="37" spans="5:6">
      <c r="E37" s="33"/>
      <c r="F37" s="33"/>
    </row>
    <row r="38" spans="5:6">
      <c r="E38" s="33"/>
      <c r="F38" s="33"/>
    </row>
    <row r="39" spans="5:6">
      <c r="E39" s="33"/>
      <c r="F39" s="33"/>
    </row>
    <row r="40" spans="5:6">
      <c r="E40" s="33"/>
      <c r="F40" s="33"/>
    </row>
    <row r="41" spans="5:6">
      <c r="E41" s="33"/>
      <c r="F41" s="33"/>
    </row>
    <row r="42" spans="5:6">
      <c r="E42" s="33"/>
      <c r="F42" s="33"/>
    </row>
    <row r="43" spans="5:6">
      <c r="E43" s="33"/>
      <c r="F43" s="33"/>
    </row>
    <row r="44" spans="5:6">
      <c r="E44" s="33"/>
      <c r="F44" s="33"/>
    </row>
    <row r="45" spans="5:6">
      <c r="E45" s="33"/>
      <c r="F45" s="33"/>
    </row>
    <row r="46" spans="5:6">
      <c r="E46" s="33"/>
      <c r="F46" s="33"/>
    </row>
    <row r="47" spans="5:6">
      <c r="E47" s="33"/>
      <c r="F47" s="33"/>
    </row>
    <row r="48" spans="5:6">
      <c r="E48" s="33"/>
      <c r="F48" s="33"/>
    </row>
    <row r="49" spans="5:6">
      <c r="E49" s="33"/>
      <c r="F49" s="33"/>
    </row>
    <row r="50" spans="5:6">
      <c r="E50" s="33"/>
      <c r="F50" s="33"/>
    </row>
    <row r="51" spans="5:6">
      <c r="E51" s="33"/>
      <c r="F51" s="33"/>
    </row>
    <row r="52" spans="5:6">
      <c r="E52" s="33"/>
      <c r="F52" s="33"/>
    </row>
    <row r="53" spans="5:6">
      <c r="E53" s="33"/>
      <c r="F53" s="33"/>
    </row>
    <row r="54" spans="5:6">
      <c r="E54" s="33"/>
      <c r="F54" s="33"/>
    </row>
    <row r="55" spans="5:6">
      <c r="E55" s="33"/>
      <c r="F55" s="33"/>
    </row>
    <row r="56" spans="5:6">
      <c r="E56" s="33"/>
      <c r="F56" s="33"/>
    </row>
    <row r="57" spans="5:6">
      <c r="E57" s="33"/>
      <c r="F57" s="33"/>
    </row>
    <row r="58" spans="5:6">
      <c r="E58" s="33"/>
      <c r="F58" s="33"/>
    </row>
    <row r="59" spans="5:6">
      <c r="E59" s="33"/>
      <c r="F59" s="33"/>
    </row>
    <row r="60" spans="5:6">
      <c r="E60" s="33"/>
      <c r="F60" s="33"/>
    </row>
    <row r="61" spans="5:6">
      <c r="E61" s="33"/>
      <c r="F61" s="33"/>
    </row>
    <row r="62" spans="5:6">
      <c r="E62" s="33"/>
      <c r="F62" s="33"/>
    </row>
    <row r="63" spans="5:6">
      <c r="E63" s="33"/>
      <c r="F63" s="33"/>
    </row>
    <row r="64" spans="5:6">
      <c r="E64" s="33"/>
      <c r="F64" s="33"/>
    </row>
    <row r="65" spans="5:6">
      <c r="E65" s="33"/>
      <c r="F65" s="33"/>
    </row>
    <row r="66" spans="5:6">
      <c r="E66" s="33"/>
      <c r="F66" s="33"/>
    </row>
    <row r="67" spans="5:6">
      <c r="E67" s="33"/>
      <c r="F67" s="33"/>
    </row>
    <row r="68" spans="5:6">
      <c r="E68" s="33"/>
      <c r="F68" s="33"/>
    </row>
    <row r="69" spans="5:6">
      <c r="E69" s="33"/>
      <c r="F69" s="33"/>
    </row>
    <row r="70" spans="5:6">
      <c r="E70" s="33"/>
      <c r="F70" s="33"/>
    </row>
    <row r="71" spans="5:6">
      <c r="E71" s="33"/>
      <c r="F71" s="33"/>
    </row>
    <row r="72" spans="5:6">
      <c r="E72" s="33"/>
      <c r="F72" s="33"/>
    </row>
    <row r="73" spans="5:6">
      <c r="E73" s="33"/>
      <c r="F73" s="33"/>
    </row>
    <row r="74" spans="5:6">
      <c r="E74" s="33"/>
      <c r="F74" s="33"/>
    </row>
    <row r="75" spans="5:6">
      <c r="E75" s="33"/>
      <c r="F75" s="33"/>
    </row>
    <row r="76" spans="5:6">
      <c r="E76" s="33"/>
      <c r="F76" s="33"/>
    </row>
    <row r="77" spans="5:6">
      <c r="E77" s="33"/>
      <c r="F77" s="33"/>
    </row>
    <row r="78" spans="5:6">
      <c r="E78" s="33"/>
      <c r="F78" s="33"/>
    </row>
    <row r="79" spans="5:6">
      <c r="E79" s="33"/>
      <c r="F79" s="33"/>
    </row>
    <row r="80" spans="5:6">
      <c r="E80" s="33"/>
      <c r="F80" s="33"/>
    </row>
    <row r="81" spans="5:6">
      <c r="E81" s="33"/>
      <c r="F81" s="33"/>
    </row>
    <row r="82" spans="5:6">
      <c r="E82" s="33"/>
      <c r="F82" s="33"/>
    </row>
    <row r="83" spans="5:6">
      <c r="E83" s="33"/>
      <c r="F83" s="33"/>
    </row>
    <row r="84" spans="5:6">
      <c r="E84" s="33"/>
      <c r="F84" s="33"/>
    </row>
    <row r="85" spans="5:6">
      <c r="E85" s="33"/>
      <c r="F85" s="33"/>
    </row>
    <row r="86" spans="5:6">
      <c r="E86" s="33"/>
      <c r="F86" s="33"/>
    </row>
    <row r="87" spans="5:6">
      <c r="E87" s="33"/>
      <c r="F87" s="33"/>
    </row>
    <row r="88" spans="5:6">
      <c r="E88" s="33"/>
      <c r="F88" s="33"/>
    </row>
    <row r="89" spans="5:6">
      <c r="E89" s="33"/>
      <c r="F89" s="33"/>
    </row>
    <row r="90" spans="5:6">
      <c r="E90" s="33"/>
      <c r="F90" s="33"/>
    </row>
    <row r="91" spans="5:6">
      <c r="E91" s="33"/>
      <c r="F91" s="33"/>
    </row>
    <row r="92" spans="5:6">
      <c r="E92" s="33"/>
      <c r="F92" s="33"/>
    </row>
    <row r="93" spans="5:6">
      <c r="E93" s="33"/>
      <c r="F93" s="33"/>
    </row>
    <row r="94" spans="5:6">
      <c r="E94" s="33"/>
      <c r="F94" s="33"/>
    </row>
    <row r="95" spans="5:6">
      <c r="E95" s="33"/>
      <c r="F95" s="33"/>
    </row>
    <row r="96" spans="5:6">
      <c r="E96" s="33"/>
      <c r="F96" s="33"/>
    </row>
    <row r="97" spans="5:6">
      <c r="E97" s="33"/>
      <c r="F97" s="33"/>
    </row>
    <row r="98" spans="5:6">
      <c r="E98" s="33"/>
      <c r="F98" s="33"/>
    </row>
    <row r="99" spans="5:6">
      <c r="E99" s="33"/>
      <c r="F99" s="33"/>
    </row>
    <row r="100" spans="5:6">
      <c r="E100" s="33"/>
      <c r="F100" s="33"/>
    </row>
    <row r="101" spans="5:6">
      <c r="E101" s="33"/>
      <c r="F101" s="33"/>
    </row>
    <row r="102" spans="5:6">
      <c r="E102" s="33"/>
      <c r="F102" s="33"/>
    </row>
    <row r="103" spans="5:6">
      <c r="E103" s="33"/>
      <c r="F103" s="33"/>
    </row>
    <row r="104" spans="5:6">
      <c r="E104" s="33"/>
      <c r="F104" s="33"/>
    </row>
    <row r="105" spans="5:6">
      <c r="E105" s="33"/>
      <c r="F105" s="33"/>
    </row>
    <row r="106" spans="5:6">
      <c r="E106" s="33"/>
      <c r="F106" s="33"/>
    </row>
    <row r="107" spans="5:6">
      <c r="E107" s="33"/>
      <c r="F107" s="33"/>
    </row>
    <row r="108" spans="5:6">
      <c r="E108" s="33"/>
      <c r="F108" s="33"/>
    </row>
    <row r="109" spans="5:6">
      <c r="E109" s="33"/>
      <c r="F109" s="33"/>
    </row>
    <row r="110" spans="5:6">
      <c r="E110" s="33"/>
      <c r="F110" s="33"/>
    </row>
    <row r="111" spans="5:6">
      <c r="E111" s="33"/>
      <c r="F111" s="33"/>
    </row>
    <row r="112" spans="5:6">
      <c r="E112" s="33"/>
      <c r="F112" s="33"/>
    </row>
    <row r="113" spans="5:6">
      <c r="E113" s="33"/>
      <c r="F113" s="33"/>
    </row>
    <row r="114" spans="5:6">
      <c r="E114" s="33"/>
      <c r="F114" s="33"/>
    </row>
    <row r="115" spans="5:6">
      <c r="E115" s="33"/>
      <c r="F115" s="33"/>
    </row>
    <row r="116" spans="5:6">
      <c r="E116" s="33"/>
      <c r="F116" s="33"/>
    </row>
    <row r="117" spans="5:6">
      <c r="E117" s="33"/>
      <c r="F117" s="33"/>
    </row>
    <row r="118" spans="5:6">
      <c r="E118" s="33"/>
      <c r="F118" s="33"/>
    </row>
    <row r="119" spans="5:6">
      <c r="E119" s="33"/>
      <c r="F119" s="33"/>
    </row>
    <row r="120" spans="5:6">
      <c r="E120" s="33"/>
      <c r="F120" s="33"/>
    </row>
    <row r="121" spans="5:6">
      <c r="E121" s="33"/>
      <c r="F121" s="33"/>
    </row>
    <row r="122" spans="5:6">
      <c r="E122" s="33"/>
      <c r="F122" s="33"/>
    </row>
    <row r="123" spans="5:6">
      <c r="E123" s="33"/>
      <c r="F123" s="33"/>
    </row>
    <row r="124" spans="5:6">
      <c r="E124" s="33"/>
      <c r="F124" s="33"/>
    </row>
    <row r="125" spans="5:6">
      <c r="E125" s="33"/>
      <c r="F125" s="33"/>
    </row>
    <row r="126" spans="5:6">
      <c r="E126" s="33"/>
      <c r="F126" s="33"/>
    </row>
    <row r="127" spans="5:6">
      <c r="E127" s="33"/>
      <c r="F127" s="33"/>
    </row>
    <row r="128" spans="5:6">
      <c r="E128" s="33"/>
      <c r="F128" s="33"/>
    </row>
    <row r="129" spans="5:6">
      <c r="E129" s="33"/>
      <c r="F129" s="33"/>
    </row>
    <row r="130" spans="5:6">
      <c r="E130" s="33"/>
      <c r="F130" s="33"/>
    </row>
    <row r="131" spans="5:6">
      <c r="E131" s="33"/>
      <c r="F131" s="33"/>
    </row>
    <row r="132" spans="5:6">
      <c r="E132" s="33"/>
      <c r="F132" s="33"/>
    </row>
    <row r="133" spans="5:6">
      <c r="E133" s="33"/>
      <c r="F133" s="33"/>
    </row>
    <row r="134" spans="5:6">
      <c r="E134" s="33"/>
      <c r="F134" s="33"/>
    </row>
    <row r="135" spans="5:6">
      <c r="E135" s="33"/>
      <c r="F135" s="33"/>
    </row>
    <row r="136" spans="5:6">
      <c r="E136" s="33"/>
      <c r="F136" s="33"/>
    </row>
    <row r="137" spans="5:6">
      <c r="E137" s="33"/>
      <c r="F137" s="33"/>
    </row>
    <row r="138" spans="5:6">
      <c r="E138" s="33"/>
      <c r="F138" s="33"/>
    </row>
    <row r="139" spans="5:6">
      <c r="E139" s="33"/>
      <c r="F139" s="33"/>
    </row>
    <row r="140" spans="5:6">
      <c r="E140" s="33"/>
      <c r="F140" s="33"/>
    </row>
    <row r="141" spans="5:6">
      <c r="E141" s="33"/>
      <c r="F141" s="33"/>
    </row>
    <row r="142" spans="5:6">
      <c r="E142" s="33"/>
      <c r="F142" s="33"/>
    </row>
    <row r="143" spans="5:6">
      <c r="E143" s="33"/>
      <c r="F143" s="33"/>
    </row>
    <row r="144" spans="5:6">
      <c r="E144" s="33"/>
      <c r="F144" s="33"/>
    </row>
    <row r="145" spans="5:6">
      <c r="E145" s="33"/>
      <c r="F145" s="33"/>
    </row>
    <row r="146" spans="5:6">
      <c r="E146" s="33"/>
      <c r="F146" s="33"/>
    </row>
    <row r="147" spans="5:6">
      <c r="E147" s="33"/>
      <c r="F147" s="33"/>
    </row>
    <row r="148" spans="5:6">
      <c r="E148" s="33"/>
      <c r="F148" s="33"/>
    </row>
    <row r="149" spans="5:6">
      <c r="E149" s="33"/>
      <c r="F149" s="33"/>
    </row>
    <row r="150" spans="5:6">
      <c r="E150" s="33"/>
      <c r="F150" s="33"/>
    </row>
    <row r="151" spans="5:6">
      <c r="E151" s="33"/>
      <c r="F151" s="33"/>
    </row>
    <row r="152" spans="5:6">
      <c r="E152" s="33"/>
      <c r="F152" s="33"/>
    </row>
    <row r="153" spans="5:6">
      <c r="E153" s="33"/>
      <c r="F153" s="33"/>
    </row>
    <row r="154" spans="5:6">
      <c r="E154" s="33"/>
      <c r="F154" s="33"/>
    </row>
    <row r="155" spans="5:6">
      <c r="E155" s="33"/>
      <c r="F155" s="33"/>
    </row>
    <row r="156" spans="5:6">
      <c r="E156" s="33"/>
      <c r="F156" s="33"/>
    </row>
    <row r="157" spans="5:6">
      <c r="E157" s="33"/>
      <c r="F157" s="33"/>
    </row>
    <row r="158" spans="5:6">
      <c r="E158" s="33"/>
      <c r="F158" s="33"/>
    </row>
    <row r="159" spans="5:6">
      <c r="E159" s="33"/>
      <c r="F159" s="33"/>
    </row>
    <row r="160" spans="5:6">
      <c r="E160" s="33"/>
      <c r="F160" s="33"/>
    </row>
    <row r="161" spans="5:6">
      <c r="E161" s="33"/>
      <c r="F161" s="33"/>
    </row>
    <row r="162" spans="5:6">
      <c r="E162" s="33"/>
      <c r="F162" s="33"/>
    </row>
    <row r="163" spans="5:6">
      <c r="E163" s="33"/>
      <c r="F163" s="33"/>
    </row>
    <row r="164" spans="5:6">
      <c r="E164" s="33"/>
      <c r="F164" s="33"/>
    </row>
    <row r="165" spans="5:6">
      <c r="E165" s="33"/>
      <c r="F165" s="33"/>
    </row>
    <row r="166" spans="5:6">
      <c r="E166" s="33"/>
      <c r="F166" s="33"/>
    </row>
    <row r="167" spans="5:6">
      <c r="E167" s="33"/>
      <c r="F167" s="33"/>
    </row>
    <row r="168" spans="5:6">
      <c r="E168" s="33"/>
      <c r="F168" s="33"/>
    </row>
    <row r="169" spans="5:6">
      <c r="E169" s="33"/>
      <c r="F169" s="33"/>
    </row>
    <row r="170" spans="5:6">
      <c r="E170" s="33"/>
      <c r="F170" s="33"/>
    </row>
    <row r="171" spans="5:6">
      <c r="E171" s="33"/>
      <c r="F171" s="33"/>
    </row>
    <row r="172" spans="5:6">
      <c r="E172" s="33"/>
      <c r="F172" s="33"/>
    </row>
    <row r="173" spans="5:6">
      <c r="E173" s="33"/>
      <c r="F173" s="33"/>
    </row>
    <row r="174" spans="5:6">
      <c r="E174" s="33"/>
      <c r="F174" s="33"/>
    </row>
    <row r="175" spans="5:6">
      <c r="E175" s="33"/>
      <c r="F175" s="33"/>
    </row>
    <row r="176" spans="5:6">
      <c r="E176" s="33"/>
      <c r="F176" s="33"/>
    </row>
    <row r="177" spans="5:6">
      <c r="E177" s="33"/>
      <c r="F177" s="33"/>
    </row>
    <row r="178" spans="5:6">
      <c r="E178" s="33"/>
      <c r="F178" s="33"/>
    </row>
    <row r="179" spans="5:6">
      <c r="E179" s="33"/>
      <c r="F179" s="33"/>
    </row>
    <row r="180" spans="5:6">
      <c r="E180" s="33"/>
      <c r="F180" s="33"/>
    </row>
    <row r="181" spans="5:6">
      <c r="E181" s="33"/>
      <c r="F181" s="33"/>
    </row>
    <row r="182" spans="5:6">
      <c r="E182" s="33"/>
      <c r="F182" s="33"/>
    </row>
    <row r="183" spans="5:6">
      <c r="E183" s="33"/>
      <c r="F183" s="33"/>
    </row>
    <row r="184" spans="5:6">
      <c r="E184" s="33"/>
      <c r="F184" s="33"/>
    </row>
    <row r="185" spans="5:6">
      <c r="E185" s="33"/>
      <c r="F185" s="33"/>
    </row>
    <row r="186" spans="5:6">
      <c r="E186" s="33"/>
      <c r="F186" s="33"/>
    </row>
    <row r="187" spans="5:6">
      <c r="E187" s="33"/>
      <c r="F187" s="33"/>
    </row>
    <row r="188" spans="5:6">
      <c r="E188" s="33"/>
      <c r="F188" s="33"/>
    </row>
    <row r="189" spans="5:6">
      <c r="E189" s="33"/>
      <c r="F189" s="33"/>
    </row>
    <row r="190" spans="5:6">
      <c r="E190" s="33"/>
      <c r="F190" s="33"/>
    </row>
    <row r="191" spans="5:6">
      <c r="E191" s="33"/>
      <c r="F191" s="33"/>
    </row>
    <row r="192" spans="5:6">
      <c r="E192" s="33"/>
      <c r="F192" s="33"/>
    </row>
    <row r="193" spans="5:6">
      <c r="E193" s="33"/>
      <c r="F193" s="33"/>
    </row>
    <row r="194" spans="5:6">
      <c r="E194" s="33"/>
      <c r="F194" s="33"/>
    </row>
    <row r="195" spans="5:6">
      <c r="E195" s="33"/>
      <c r="F195" s="33"/>
    </row>
    <row r="196" spans="5:6">
      <c r="E196" s="33"/>
      <c r="F196" s="33"/>
    </row>
    <row r="197" spans="5:6">
      <c r="E197" s="33"/>
      <c r="F197" s="33"/>
    </row>
    <row r="198" spans="5:6">
      <c r="E198" s="33"/>
      <c r="F198" s="33"/>
    </row>
    <row r="199" spans="5:6">
      <c r="E199" s="33"/>
      <c r="F199" s="33"/>
    </row>
    <row r="200" spans="5:6">
      <c r="E200" s="33"/>
      <c r="F200" s="33"/>
    </row>
    <row r="201" spans="5:6">
      <c r="E201" s="33"/>
      <c r="F201" s="33"/>
    </row>
    <row r="202" spans="5:6">
      <c r="E202" s="33"/>
      <c r="F202" s="33"/>
    </row>
    <row r="203" spans="5:6">
      <c r="E203" s="33"/>
      <c r="F203" s="33"/>
    </row>
    <row r="204" spans="5:6">
      <c r="E204" s="33"/>
      <c r="F204" s="33"/>
    </row>
    <row r="205" spans="5:6">
      <c r="E205" s="33"/>
      <c r="F205" s="33"/>
    </row>
    <row r="206" spans="5:6">
      <c r="E206" s="33"/>
      <c r="F206" s="33"/>
    </row>
    <row r="207" spans="5:6">
      <c r="E207" s="33"/>
      <c r="F207" s="33"/>
    </row>
    <row r="208" spans="5:6">
      <c r="E208" s="33"/>
      <c r="F208" s="33"/>
    </row>
    <row r="209" spans="5:6">
      <c r="E209" s="33"/>
      <c r="F209" s="33"/>
    </row>
    <row r="210" spans="5:6">
      <c r="E210" s="33"/>
      <c r="F210" s="33"/>
    </row>
    <row r="211" spans="5:6">
      <c r="E211" s="33"/>
      <c r="F211" s="33"/>
    </row>
    <row r="212" spans="5:6">
      <c r="E212" s="33"/>
      <c r="F212" s="33"/>
    </row>
    <row r="213" spans="5:6">
      <c r="E213" s="33"/>
      <c r="F213" s="33"/>
    </row>
    <row r="214" spans="5:6">
      <c r="E214" s="33"/>
      <c r="F214" s="33"/>
    </row>
    <row r="215" spans="5:6">
      <c r="E215" s="33"/>
      <c r="F215" s="33"/>
    </row>
    <row r="216" spans="5:6">
      <c r="E216" s="33"/>
      <c r="F216" s="33"/>
    </row>
    <row r="217" spans="5:6">
      <c r="E217" s="33"/>
      <c r="F217" s="33"/>
    </row>
    <row r="218" spans="5:6">
      <c r="E218" s="33"/>
      <c r="F218" s="33"/>
    </row>
    <row r="219" spans="5:6">
      <c r="E219" s="33"/>
      <c r="F219" s="33"/>
    </row>
    <row r="220" spans="5:6">
      <c r="E220" s="33"/>
      <c r="F220" s="33"/>
    </row>
    <row r="221" spans="5:6">
      <c r="E221" s="33"/>
      <c r="F221" s="33"/>
    </row>
  </sheetData>
  <mergeCells count="12">
    <mergeCell ref="A1:F1"/>
    <mergeCell ref="A6:E6"/>
    <mergeCell ref="A7:E7"/>
    <mergeCell ref="A9:F9"/>
    <mergeCell ref="A12:E12"/>
    <mergeCell ref="A13:E13"/>
    <mergeCell ref="A15:F15"/>
    <mergeCell ref="A21:E21"/>
    <mergeCell ref="A22:E22"/>
    <mergeCell ref="A24:F24"/>
    <mergeCell ref="A33:E33"/>
    <mergeCell ref="A34:E34"/>
  </mergeCells>
  <pageMargins left="0.7875" right="0.7875" top="1.05277777777778" bottom="1.05277777777778" header="0" footer="0"/>
  <pageSetup paperSize="9" scale="71" orientation="portrait"/>
  <headerFooter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32"/>
  <sheetViews>
    <sheetView view="pageBreakPreview" zoomScaleNormal="100" topLeftCell="A16" workbookViewId="0">
      <selection activeCell="G31" sqref="G31"/>
    </sheetView>
  </sheetViews>
  <sheetFormatPr defaultColWidth="14.4285714285714" defaultRowHeight="15"/>
  <cols>
    <col min="1" max="1" width="6" customWidth="1"/>
    <col min="2" max="2" width="50" customWidth="1"/>
    <col min="3" max="3" width="9.42857142857143" customWidth="1"/>
    <col min="4" max="4" width="11.2857142857143" customWidth="1"/>
    <col min="5" max="5" width="13.8571428571429" customWidth="1"/>
    <col min="6" max="6" width="9.57142857142857" customWidth="1"/>
    <col min="7" max="7" width="14" customWidth="1"/>
    <col min="8" max="27" width="10.4285714285714" customWidth="1"/>
  </cols>
  <sheetData>
    <row r="1" spans="1:27">
      <c r="A1" s="1" t="s">
        <v>642</v>
      </c>
      <c r="B1" s="2"/>
      <c r="C1" s="2"/>
      <c r="D1" s="2"/>
      <c r="E1" s="2"/>
      <c r="F1" s="2"/>
      <c r="G1" s="2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>
      <c r="A2" s="1"/>
      <c r="B2" s="2"/>
      <c r="C2" s="2"/>
      <c r="D2" s="2"/>
      <c r="E2" s="2"/>
      <c r="F2" s="2"/>
      <c r="G2" s="2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>
      <c r="A3" s="3" t="s">
        <v>643</v>
      </c>
      <c r="B3" s="4"/>
      <c r="C3" s="4"/>
      <c r="D3" s="4"/>
      <c r="E3" s="4"/>
      <c r="F3" s="4"/>
      <c r="G3" s="5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ht="30" spans="1:27">
      <c r="A4" s="6" t="s">
        <v>1</v>
      </c>
      <c r="B4" s="6" t="s">
        <v>2</v>
      </c>
      <c r="C4" s="6" t="s">
        <v>496</v>
      </c>
      <c r="D4" s="6" t="s">
        <v>644</v>
      </c>
      <c r="E4" s="7" t="s">
        <v>645</v>
      </c>
      <c r="F4" s="8" t="s">
        <v>498</v>
      </c>
      <c r="G4" s="9" t="s">
        <v>499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ht="45" spans="1:27">
      <c r="A5" s="10">
        <v>1</v>
      </c>
      <c r="B5" s="11" t="s">
        <v>646</v>
      </c>
      <c r="C5" s="12" t="s">
        <v>625</v>
      </c>
      <c r="D5" s="12" t="s">
        <v>647</v>
      </c>
      <c r="E5" s="10">
        <v>1</v>
      </c>
      <c r="F5" s="13">
        <v>46.81</v>
      </c>
      <c r="G5" s="13">
        <f t="shared" ref="G5:G10" si="0">F5*E5</f>
        <v>46.81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</row>
    <row r="6" spans="1:27">
      <c r="A6" s="10">
        <v>2</v>
      </c>
      <c r="B6" s="14" t="s">
        <v>648</v>
      </c>
      <c r="C6" s="15" t="s">
        <v>496</v>
      </c>
      <c r="D6" s="15" t="s">
        <v>647</v>
      </c>
      <c r="E6" s="16">
        <v>4</v>
      </c>
      <c r="F6" s="17">
        <v>54.09</v>
      </c>
      <c r="G6" s="17">
        <f t="shared" si="0"/>
        <v>216.36</v>
      </c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ht="30" spans="1:27">
      <c r="A7" s="10">
        <v>3</v>
      </c>
      <c r="B7" s="14" t="s">
        <v>649</v>
      </c>
      <c r="C7" s="15" t="s">
        <v>496</v>
      </c>
      <c r="D7" s="15" t="s">
        <v>647</v>
      </c>
      <c r="E7" s="16">
        <v>4</v>
      </c>
      <c r="F7" s="17">
        <v>25.66</v>
      </c>
      <c r="G7" s="17">
        <f t="shared" si="0"/>
        <v>102.64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ht="30" spans="1:27">
      <c r="A8" s="10">
        <v>4</v>
      </c>
      <c r="B8" s="14" t="s">
        <v>650</v>
      </c>
      <c r="C8" s="15" t="s">
        <v>496</v>
      </c>
      <c r="D8" s="15" t="s">
        <v>647</v>
      </c>
      <c r="E8" s="16">
        <v>1</v>
      </c>
      <c r="F8" s="17">
        <v>8.15</v>
      </c>
      <c r="G8" s="17">
        <f t="shared" si="0"/>
        <v>8.15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>
      <c r="A9" s="10">
        <v>5</v>
      </c>
      <c r="B9" s="18" t="s">
        <v>651</v>
      </c>
      <c r="C9" s="15" t="s">
        <v>625</v>
      </c>
      <c r="D9" s="15" t="s">
        <v>647</v>
      </c>
      <c r="E9" s="16">
        <v>4</v>
      </c>
      <c r="F9" s="17">
        <v>8.4</v>
      </c>
      <c r="G9" s="17">
        <f t="shared" si="0"/>
        <v>33.6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ht="45" spans="1:27">
      <c r="A10" s="19">
        <v>6</v>
      </c>
      <c r="B10" s="18" t="s">
        <v>652</v>
      </c>
      <c r="C10" s="15" t="s">
        <v>625</v>
      </c>
      <c r="D10" s="15" t="s">
        <v>647</v>
      </c>
      <c r="E10" s="16">
        <v>2</v>
      </c>
      <c r="F10" s="17">
        <v>48.14</v>
      </c>
      <c r="G10" s="17">
        <f t="shared" si="0"/>
        <v>96.28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7">
      <c r="A11" s="20" t="s">
        <v>653</v>
      </c>
      <c r="B11" s="21"/>
      <c r="C11" s="21"/>
      <c r="D11" s="21"/>
      <c r="E11" s="21"/>
      <c r="F11" s="22"/>
      <c r="G11" s="23">
        <f>SUM(G5:G10)</f>
        <v>503.84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>
      <c r="A12" s="24" t="s">
        <v>654</v>
      </c>
      <c r="B12" s="4"/>
      <c r="C12" s="4"/>
      <c r="D12" s="4"/>
      <c r="E12" s="4"/>
      <c r="F12" s="5"/>
      <c r="G12" s="25">
        <f>ROUND(G11/12,2)</f>
        <v>41.99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>
      <c r="A13" s="26"/>
      <c r="B13" s="26"/>
      <c r="C13" s="26"/>
      <c r="D13" s="26"/>
      <c r="E13" s="26"/>
      <c r="F13" s="27"/>
      <c r="G13" s="27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>
      <c r="A14" s="3" t="s">
        <v>655</v>
      </c>
      <c r="B14" s="4"/>
      <c r="C14" s="4"/>
      <c r="D14" s="4"/>
      <c r="E14" s="4"/>
      <c r="F14" s="4"/>
      <c r="G14" s="5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ht="30" spans="1:27">
      <c r="A15" s="6" t="s">
        <v>1</v>
      </c>
      <c r="B15" s="6" t="s">
        <v>2</v>
      </c>
      <c r="C15" s="6" t="s">
        <v>496</v>
      </c>
      <c r="D15" s="6" t="s">
        <v>644</v>
      </c>
      <c r="E15" s="7" t="s">
        <v>645</v>
      </c>
      <c r="F15" s="8" t="s">
        <v>498</v>
      </c>
      <c r="G15" s="9" t="s">
        <v>499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>
      <c r="A16" s="16">
        <v>1</v>
      </c>
      <c r="B16" s="14" t="s">
        <v>648</v>
      </c>
      <c r="C16" s="15" t="s">
        <v>496</v>
      </c>
      <c r="D16" s="15" t="s">
        <v>647</v>
      </c>
      <c r="E16" s="16">
        <v>4</v>
      </c>
      <c r="F16" s="17">
        <v>54.09</v>
      </c>
      <c r="G16" s="17">
        <f>F16*E16</f>
        <v>216.36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ht="30" spans="1:27">
      <c r="A17" s="16">
        <v>2</v>
      </c>
      <c r="B17" s="14" t="s">
        <v>649</v>
      </c>
      <c r="C17" s="15" t="s">
        <v>496</v>
      </c>
      <c r="D17" s="15" t="s">
        <v>647</v>
      </c>
      <c r="E17" s="16">
        <v>4</v>
      </c>
      <c r="F17" s="17">
        <v>25.66</v>
      </c>
      <c r="G17" s="17">
        <f>F17*E17</f>
        <v>102.64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ht="30" spans="1:27">
      <c r="A18" s="16">
        <v>3</v>
      </c>
      <c r="B18" s="14" t="s">
        <v>650</v>
      </c>
      <c r="C18" s="15" t="s">
        <v>496</v>
      </c>
      <c r="D18" s="15" t="s">
        <v>647</v>
      </c>
      <c r="E18" s="16">
        <v>1</v>
      </c>
      <c r="F18" s="17">
        <v>8.15</v>
      </c>
      <c r="G18" s="17">
        <f>F18*E18</f>
        <v>8.15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1:27">
      <c r="A19" s="16">
        <v>4</v>
      </c>
      <c r="B19" s="14" t="s">
        <v>651</v>
      </c>
      <c r="C19" s="15" t="s">
        <v>625</v>
      </c>
      <c r="D19" s="15" t="s">
        <v>647</v>
      </c>
      <c r="E19" s="16">
        <v>4</v>
      </c>
      <c r="F19" s="17">
        <v>8.4</v>
      </c>
      <c r="G19" s="17">
        <f>F19*E19</f>
        <v>33.6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ht="45" spans="1:27">
      <c r="A20" s="16">
        <v>5</v>
      </c>
      <c r="B20" s="14" t="s">
        <v>652</v>
      </c>
      <c r="C20" s="15" t="s">
        <v>625</v>
      </c>
      <c r="D20" s="15" t="s">
        <v>647</v>
      </c>
      <c r="E20" s="16">
        <v>2</v>
      </c>
      <c r="F20" s="17">
        <v>48.14</v>
      </c>
      <c r="G20" s="17">
        <f>F20*E20</f>
        <v>96.28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>
      <c r="A21" s="24" t="s">
        <v>653</v>
      </c>
      <c r="B21" s="4"/>
      <c r="C21" s="4"/>
      <c r="D21" s="4"/>
      <c r="E21" s="4"/>
      <c r="F21" s="5"/>
      <c r="G21" s="25">
        <f>SUM(G16:G20)</f>
        <v>457.03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>
      <c r="A22" s="24" t="s">
        <v>654</v>
      </c>
      <c r="B22" s="4"/>
      <c r="C22" s="4"/>
      <c r="D22" s="4"/>
      <c r="E22" s="4"/>
      <c r="F22" s="5"/>
      <c r="G22" s="25">
        <f>ROUND(G21/12,2)</f>
        <v>38.09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1:27">
      <c r="A23" s="26"/>
      <c r="B23" s="26"/>
      <c r="C23" s="26"/>
      <c r="D23" s="26"/>
      <c r="E23" s="26"/>
      <c r="F23" s="27"/>
      <c r="G23" s="27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1:27">
      <c r="A24" s="3" t="s">
        <v>656</v>
      </c>
      <c r="B24" s="28"/>
      <c r="C24" s="28"/>
      <c r="D24" s="28"/>
      <c r="E24" s="28"/>
      <c r="F24" s="28"/>
      <c r="G24" s="29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ht="30" spans="1:27">
      <c r="A25" s="6" t="s">
        <v>1</v>
      </c>
      <c r="B25" s="6" t="s">
        <v>2</v>
      </c>
      <c r="C25" s="6" t="s">
        <v>496</v>
      </c>
      <c r="D25" s="6" t="s">
        <v>644</v>
      </c>
      <c r="E25" s="7" t="s">
        <v>645</v>
      </c>
      <c r="F25" s="8" t="s">
        <v>498</v>
      </c>
      <c r="G25" s="9" t="s">
        <v>499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1:27">
      <c r="A26" s="16">
        <v>1</v>
      </c>
      <c r="B26" s="14" t="s">
        <v>648</v>
      </c>
      <c r="C26" s="15" t="s">
        <v>496</v>
      </c>
      <c r="D26" s="15" t="s">
        <v>647</v>
      </c>
      <c r="E26" s="16">
        <v>4</v>
      </c>
      <c r="F26" s="17">
        <v>54.09</v>
      </c>
      <c r="G26" s="17">
        <f>F26*E26</f>
        <v>216.36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ht="30" spans="1:27">
      <c r="A27" s="16">
        <v>2</v>
      </c>
      <c r="B27" s="14" t="s">
        <v>650</v>
      </c>
      <c r="C27" s="16" t="s">
        <v>496</v>
      </c>
      <c r="D27" s="16" t="s">
        <v>647</v>
      </c>
      <c r="E27" s="16">
        <v>1</v>
      </c>
      <c r="F27" s="17">
        <v>8.67</v>
      </c>
      <c r="G27" s="17">
        <f>F27*E27</f>
        <v>8.67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1:27">
      <c r="A28" s="16">
        <v>3</v>
      </c>
      <c r="B28" s="30" t="s">
        <v>651</v>
      </c>
      <c r="C28" s="16" t="s">
        <v>625</v>
      </c>
      <c r="D28" s="16" t="s">
        <v>647</v>
      </c>
      <c r="E28" s="16">
        <v>4</v>
      </c>
      <c r="F28" s="17">
        <v>8.4</v>
      </c>
      <c r="G28" s="17">
        <f>F28*E28</f>
        <v>33.6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ht="45" spans="1:27">
      <c r="A29" s="16">
        <v>4</v>
      </c>
      <c r="B29" s="14" t="s">
        <v>652</v>
      </c>
      <c r="C29" s="16" t="s">
        <v>625</v>
      </c>
      <c r="D29" s="16" t="s">
        <v>647</v>
      </c>
      <c r="E29" s="16">
        <v>2</v>
      </c>
      <c r="F29" s="17">
        <v>48.14</v>
      </c>
      <c r="G29" s="17">
        <f>F29*E29</f>
        <v>96.28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ht="30" spans="1:27">
      <c r="A30" s="16">
        <v>5</v>
      </c>
      <c r="B30" s="14" t="s">
        <v>657</v>
      </c>
      <c r="C30" s="16" t="s">
        <v>496</v>
      </c>
      <c r="D30" s="16" t="s">
        <v>647</v>
      </c>
      <c r="E30" s="16">
        <v>4</v>
      </c>
      <c r="F30" s="17">
        <v>26.72</v>
      </c>
      <c r="G30" s="17">
        <f>F30*E30</f>
        <v>106.88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1:27">
      <c r="A31" s="24" t="s">
        <v>653</v>
      </c>
      <c r="B31" s="31"/>
      <c r="C31" s="31"/>
      <c r="D31" s="31"/>
      <c r="E31" s="31"/>
      <c r="F31" s="32"/>
      <c r="G31" s="25">
        <f>SUM(G26:G30)</f>
        <v>461.79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1:27">
      <c r="A32" s="24" t="s">
        <v>654</v>
      </c>
      <c r="B32" s="31"/>
      <c r="C32" s="31"/>
      <c r="D32" s="31"/>
      <c r="E32" s="31"/>
      <c r="F32" s="32"/>
      <c r="G32" s="25">
        <f>ROUND(G31/12,2)</f>
        <v>38.48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6:27">
      <c r="F33" s="33"/>
      <c r="G33" s="33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6:27">
      <c r="F34" s="33"/>
      <c r="G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6:27">
      <c r="F35" s="33"/>
      <c r="G35" s="33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6:27">
      <c r="F36" s="33"/>
      <c r="G36" s="33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</row>
    <row r="37" spans="6:27">
      <c r="F37" s="33"/>
      <c r="G37" s="33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</row>
    <row r="38" spans="6:27">
      <c r="F38" s="33"/>
      <c r="G38" s="33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</row>
    <row r="39" spans="6:27">
      <c r="F39" s="33"/>
      <c r="G39" s="33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6:27">
      <c r="F40" s="33"/>
      <c r="G40" s="33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</row>
    <row r="41" spans="6:27">
      <c r="F41" s="33"/>
      <c r="G41" s="33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</row>
    <row r="42" spans="6:27">
      <c r="F42" s="33"/>
      <c r="G42" s="33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</row>
    <row r="43" spans="6:27">
      <c r="F43" s="33"/>
      <c r="G43" s="33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</row>
    <row r="44" spans="6:27">
      <c r="F44" s="33"/>
      <c r="G44" s="33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</row>
    <row r="45" spans="6:27">
      <c r="F45" s="33"/>
      <c r="G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</row>
    <row r="46" spans="6:27">
      <c r="F46" s="33"/>
      <c r="G46" s="33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</row>
    <row r="47" spans="6:27">
      <c r="F47" s="33"/>
      <c r="G47" s="3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</row>
    <row r="48" spans="6:27">
      <c r="F48" s="33"/>
      <c r="G48" s="33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</row>
    <row r="49" spans="6:27">
      <c r="F49" s="33"/>
      <c r="G49" s="33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</row>
    <row r="50" spans="6:27">
      <c r="F50" s="33"/>
      <c r="G50" s="33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</row>
    <row r="51" spans="6:27">
      <c r="F51" s="33"/>
      <c r="G51" s="33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</row>
    <row r="52" spans="6:27">
      <c r="F52" s="33"/>
      <c r="G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</row>
    <row r="53" spans="6:27">
      <c r="F53" s="33"/>
      <c r="G53" s="33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</row>
    <row r="54" spans="6:27">
      <c r="F54" s="33"/>
      <c r="G54" s="33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</row>
    <row r="55" spans="6:27">
      <c r="F55" s="33"/>
      <c r="G55" s="33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</row>
    <row r="56" spans="6:27">
      <c r="F56" s="33"/>
      <c r="G56" s="33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</row>
    <row r="57" spans="6:27">
      <c r="F57" s="33"/>
      <c r="G57" s="33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</row>
    <row r="58" spans="6:27">
      <c r="F58" s="33"/>
      <c r="G58" s="33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</row>
    <row r="59" spans="6:27">
      <c r="F59" s="33"/>
      <c r="G59" s="33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</row>
    <row r="60" spans="6:27">
      <c r="F60" s="33"/>
      <c r="G60" s="33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</row>
    <row r="61" spans="6:27">
      <c r="F61" s="33"/>
      <c r="G61" s="33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</row>
    <row r="62" spans="6:27">
      <c r="F62" s="33"/>
      <c r="G62" s="33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</row>
    <row r="63" spans="6:27">
      <c r="F63" s="33"/>
      <c r="G63" s="33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</row>
    <row r="64" spans="6:27">
      <c r="F64" s="33"/>
      <c r="G64" s="33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</row>
    <row r="65" spans="6:27">
      <c r="F65" s="33"/>
      <c r="G65" s="33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</row>
    <row r="66" spans="6:27">
      <c r="F66" s="33"/>
      <c r="G66" s="33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</row>
    <row r="67" spans="6:27">
      <c r="F67" s="33"/>
      <c r="G67" s="33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</row>
    <row r="68" spans="6:27">
      <c r="F68" s="33"/>
      <c r="G68" s="33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</row>
    <row r="69" spans="6:27">
      <c r="F69" s="33"/>
      <c r="G69" s="33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</row>
    <row r="70" spans="6:27">
      <c r="F70" s="33"/>
      <c r="G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</row>
    <row r="71" spans="6:27">
      <c r="F71" s="33"/>
      <c r="G71" s="33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</row>
    <row r="72" spans="6:27">
      <c r="F72" s="33"/>
      <c r="G72" s="33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</row>
    <row r="73" spans="6:27">
      <c r="F73" s="33"/>
      <c r="G73" s="33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</row>
    <row r="74" spans="6:27">
      <c r="F74" s="33"/>
      <c r="G74" s="33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</row>
    <row r="75" spans="6:27">
      <c r="F75" s="33"/>
      <c r="G75" s="33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</row>
    <row r="76" spans="6:27">
      <c r="F76" s="33"/>
      <c r="G76" s="33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</row>
    <row r="77" spans="6:27">
      <c r="F77" s="33"/>
      <c r="G77" s="33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</row>
    <row r="78" spans="6:27">
      <c r="F78" s="33"/>
      <c r="G78" s="33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</row>
    <row r="79" spans="6:27">
      <c r="F79" s="33"/>
      <c r="G79" s="33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</row>
    <row r="80" spans="6:27">
      <c r="F80" s="33"/>
      <c r="G80" s="33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</row>
    <row r="81" spans="6:27">
      <c r="F81" s="33"/>
      <c r="G81" s="33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</row>
    <row r="82" spans="6:27">
      <c r="F82" s="33"/>
      <c r="G82" s="33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</row>
    <row r="83" spans="6:27">
      <c r="F83" s="33"/>
      <c r="G83" s="33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</row>
    <row r="84" spans="6:27">
      <c r="F84" s="33"/>
      <c r="G84" s="33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</row>
    <row r="85" spans="6:27">
      <c r="F85" s="33"/>
      <c r="G85" s="33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</row>
    <row r="86" spans="6:27">
      <c r="F86" s="33"/>
      <c r="G86" s="33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</row>
    <row r="87" spans="6:27">
      <c r="F87" s="33"/>
      <c r="G87" s="33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</row>
    <row r="88" spans="6:27">
      <c r="F88" s="33"/>
      <c r="G88" s="33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</row>
    <row r="89" spans="6:27">
      <c r="F89" s="33"/>
      <c r="G89" s="33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</row>
    <row r="90" spans="6:27">
      <c r="F90" s="33"/>
      <c r="G90" s="33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</row>
    <row r="91" spans="6:27">
      <c r="F91" s="33"/>
      <c r="G91" s="33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</row>
    <row r="92" spans="6:27">
      <c r="F92" s="33"/>
      <c r="G92" s="33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</row>
    <row r="93" spans="6:27">
      <c r="F93" s="33"/>
      <c r="G93" s="33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</row>
    <row r="94" spans="1:27">
      <c r="A94" s="34"/>
      <c r="B94" s="34"/>
      <c r="C94" s="34"/>
      <c r="D94" s="34"/>
      <c r="E94" s="34"/>
      <c r="F94" s="35"/>
      <c r="G94" s="35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</row>
    <row r="95" spans="1:27">
      <c r="A95" s="34"/>
      <c r="B95" s="34"/>
      <c r="C95" s="34"/>
      <c r="D95" s="34"/>
      <c r="E95" s="34"/>
      <c r="F95" s="35"/>
      <c r="G95" s="35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</row>
    <row r="96" spans="1:27">
      <c r="A96" s="34"/>
      <c r="B96" s="34"/>
      <c r="C96" s="34"/>
      <c r="D96" s="34"/>
      <c r="E96" s="34"/>
      <c r="F96" s="35"/>
      <c r="G96" s="35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</row>
    <row r="97" spans="1:27">
      <c r="A97" s="34"/>
      <c r="B97" s="34"/>
      <c r="C97" s="34"/>
      <c r="D97" s="34"/>
      <c r="E97" s="34"/>
      <c r="F97" s="35"/>
      <c r="G97" s="35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</row>
    <row r="98" spans="1:27">
      <c r="A98" s="34"/>
      <c r="B98" s="34"/>
      <c r="C98" s="34"/>
      <c r="D98" s="34"/>
      <c r="E98" s="34"/>
      <c r="F98" s="35"/>
      <c r="G98" s="35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</row>
    <row r="99" spans="1:27">
      <c r="A99" s="34"/>
      <c r="B99" s="34"/>
      <c r="C99" s="34"/>
      <c r="D99" s="34"/>
      <c r="E99" s="34"/>
      <c r="F99" s="35"/>
      <c r="G99" s="35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</row>
    <row r="100" spans="1:27">
      <c r="A100" s="34"/>
      <c r="B100" s="34"/>
      <c r="C100" s="34"/>
      <c r="D100" s="34"/>
      <c r="E100" s="34"/>
      <c r="F100" s="35"/>
      <c r="G100" s="35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</row>
    <row r="101" spans="1:27">
      <c r="A101" s="34"/>
      <c r="B101" s="34"/>
      <c r="C101" s="34"/>
      <c r="D101" s="34"/>
      <c r="E101" s="34"/>
      <c r="F101" s="35"/>
      <c r="G101" s="35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</row>
    <row r="102" spans="1:27">
      <c r="A102" s="34"/>
      <c r="B102" s="34"/>
      <c r="C102" s="34"/>
      <c r="D102" s="34"/>
      <c r="E102" s="34"/>
      <c r="F102" s="35"/>
      <c r="G102" s="35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</row>
    <row r="103" spans="1:27">
      <c r="A103" s="34"/>
      <c r="B103" s="34"/>
      <c r="C103" s="34"/>
      <c r="D103" s="34"/>
      <c r="E103" s="34"/>
      <c r="F103" s="35"/>
      <c r="G103" s="35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</row>
    <row r="104" spans="1:27">
      <c r="A104" s="34"/>
      <c r="B104" s="34"/>
      <c r="C104" s="34"/>
      <c r="D104" s="34"/>
      <c r="E104" s="34"/>
      <c r="F104" s="35"/>
      <c r="G104" s="35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</row>
    <row r="105" spans="1:27">
      <c r="A105" s="34"/>
      <c r="B105" s="34"/>
      <c r="C105" s="34"/>
      <c r="D105" s="34"/>
      <c r="E105" s="34"/>
      <c r="F105" s="35"/>
      <c r="G105" s="35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</row>
    <row r="106" spans="1:27">
      <c r="A106" s="34"/>
      <c r="B106" s="34"/>
      <c r="C106" s="34"/>
      <c r="D106" s="34"/>
      <c r="E106" s="34"/>
      <c r="F106" s="35"/>
      <c r="G106" s="35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</row>
    <row r="107" spans="1:27">
      <c r="A107" s="34"/>
      <c r="B107" s="34"/>
      <c r="C107" s="34"/>
      <c r="D107" s="34"/>
      <c r="E107" s="34"/>
      <c r="F107" s="35"/>
      <c r="G107" s="35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</row>
    <row r="108" spans="1:27">
      <c r="A108" s="34"/>
      <c r="B108" s="34"/>
      <c r="C108" s="34"/>
      <c r="D108" s="34"/>
      <c r="E108" s="34"/>
      <c r="F108" s="35"/>
      <c r="G108" s="35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</row>
    <row r="109" spans="1:27">
      <c r="A109" s="34"/>
      <c r="B109" s="34"/>
      <c r="C109" s="34"/>
      <c r="D109" s="34"/>
      <c r="E109" s="34"/>
      <c r="F109" s="35"/>
      <c r="G109" s="35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</row>
    <row r="110" spans="1:27">
      <c r="A110" s="34"/>
      <c r="B110" s="34"/>
      <c r="C110" s="34"/>
      <c r="D110" s="34"/>
      <c r="E110" s="34"/>
      <c r="F110" s="35"/>
      <c r="G110" s="35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</row>
    <row r="111" spans="1:27">
      <c r="A111" s="34"/>
      <c r="B111" s="34"/>
      <c r="C111" s="34"/>
      <c r="D111" s="34"/>
      <c r="E111" s="34"/>
      <c r="F111" s="35"/>
      <c r="G111" s="35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</row>
    <row r="112" spans="1:27">
      <c r="A112" s="34"/>
      <c r="B112" s="34"/>
      <c r="C112" s="34"/>
      <c r="D112" s="34"/>
      <c r="E112" s="34"/>
      <c r="F112" s="35"/>
      <c r="G112" s="35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</row>
    <row r="113" spans="1:27">
      <c r="A113" s="34"/>
      <c r="B113" s="34"/>
      <c r="C113" s="34"/>
      <c r="D113" s="34"/>
      <c r="E113" s="34"/>
      <c r="F113" s="35"/>
      <c r="G113" s="35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</row>
    <row r="114" spans="1:27">
      <c r="A114" s="34"/>
      <c r="B114" s="34"/>
      <c r="C114" s="34"/>
      <c r="D114" s="34"/>
      <c r="E114" s="34"/>
      <c r="F114" s="35"/>
      <c r="G114" s="35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</row>
    <row r="115" spans="1:27">
      <c r="A115" s="34"/>
      <c r="B115" s="34"/>
      <c r="C115" s="34"/>
      <c r="D115" s="34"/>
      <c r="E115" s="34"/>
      <c r="F115" s="35"/>
      <c r="G115" s="35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</row>
    <row r="116" spans="1:27">
      <c r="A116" s="34"/>
      <c r="B116" s="34"/>
      <c r="C116" s="34"/>
      <c r="D116" s="34"/>
      <c r="E116" s="34"/>
      <c r="F116" s="35"/>
      <c r="G116" s="35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</row>
    <row r="117" spans="1:27">
      <c r="A117" s="34"/>
      <c r="B117" s="34"/>
      <c r="C117" s="34"/>
      <c r="D117" s="34"/>
      <c r="E117" s="34"/>
      <c r="F117" s="35"/>
      <c r="G117" s="35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</row>
    <row r="118" spans="1:27">
      <c r="A118" s="34"/>
      <c r="B118" s="34"/>
      <c r="C118" s="34"/>
      <c r="D118" s="34"/>
      <c r="E118" s="34"/>
      <c r="F118" s="35"/>
      <c r="G118" s="35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</row>
    <row r="119" spans="1:27">
      <c r="A119" s="34"/>
      <c r="B119" s="34"/>
      <c r="C119" s="34"/>
      <c r="D119" s="34"/>
      <c r="E119" s="34"/>
      <c r="F119" s="35"/>
      <c r="G119" s="35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</row>
    <row r="120" spans="1:27">
      <c r="A120" s="34"/>
      <c r="B120" s="34"/>
      <c r="C120" s="34"/>
      <c r="D120" s="34"/>
      <c r="E120" s="34"/>
      <c r="F120" s="35"/>
      <c r="G120" s="35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</row>
    <row r="121" spans="1:27">
      <c r="A121" s="34"/>
      <c r="B121" s="34"/>
      <c r="C121" s="34"/>
      <c r="D121" s="34"/>
      <c r="E121" s="34"/>
      <c r="F121" s="35"/>
      <c r="G121" s="35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</row>
    <row r="122" spans="1:27">
      <c r="A122" s="34"/>
      <c r="B122" s="34"/>
      <c r="C122" s="34"/>
      <c r="D122" s="34"/>
      <c r="E122" s="34"/>
      <c r="F122" s="35"/>
      <c r="G122" s="35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</row>
    <row r="123" spans="1:27">
      <c r="A123" s="34"/>
      <c r="B123" s="34"/>
      <c r="C123" s="34"/>
      <c r="D123" s="34"/>
      <c r="E123" s="34"/>
      <c r="F123" s="35"/>
      <c r="G123" s="35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</row>
    <row r="124" spans="1:27">
      <c r="A124" s="34"/>
      <c r="B124" s="34"/>
      <c r="C124" s="34"/>
      <c r="D124" s="34"/>
      <c r="E124" s="34"/>
      <c r="F124" s="35"/>
      <c r="G124" s="35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</row>
    <row r="125" spans="1:27">
      <c r="A125" s="34"/>
      <c r="B125" s="34"/>
      <c r="C125" s="34"/>
      <c r="D125" s="34"/>
      <c r="E125" s="34"/>
      <c r="F125" s="35"/>
      <c r="G125" s="35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</row>
    <row r="126" spans="1:27">
      <c r="A126" s="34"/>
      <c r="B126" s="34"/>
      <c r="C126" s="34"/>
      <c r="D126" s="34"/>
      <c r="E126" s="34"/>
      <c r="F126" s="35"/>
      <c r="G126" s="35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</row>
    <row r="127" spans="1:27">
      <c r="A127" s="34"/>
      <c r="B127" s="34"/>
      <c r="C127" s="34"/>
      <c r="D127" s="34"/>
      <c r="E127" s="34"/>
      <c r="F127" s="35"/>
      <c r="G127" s="35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</row>
    <row r="128" spans="1:27">
      <c r="A128" s="34"/>
      <c r="B128" s="34"/>
      <c r="C128" s="34"/>
      <c r="D128" s="34"/>
      <c r="E128" s="34"/>
      <c r="F128" s="35"/>
      <c r="G128" s="35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</row>
    <row r="129" spans="1:27">
      <c r="A129" s="34"/>
      <c r="B129" s="34"/>
      <c r="C129" s="34"/>
      <c r="D129" s="34"/>
      <c r="E129" s="34"/>
      <c r="F129" s="35"/>
      <c r="G129" s="35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</row>
    <row r="130" spans="1:27">
      <c r="A130" s="34"/>
      <c r="B130" s="34"/>
      <c r="C130" s="34"/>
      <c r="D130" s="34"/>
      <c r="E130" s="34"/>
      <c r="F130" s="35"/>
      <c r="G130" s="35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</row>
    <row r="131" spans="1:27">
      <c r="A131" s="34"/>
      <c r="B131" s="34"/>
      <c r="C131" s="34"/>
      <c r="D131" s="34"/>
      <c r="E131" s="34"/>
      <c r="F131" s="35"/>
      <c r="G131" s="35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</row>
    <row r="132" spans="1:27">
      <c r="A132" s="34"/>
      <c r="B132" s="34"/>
      <c r="C132" s="34"/>
      <c r="D132" s="34"/>
      <c r="E132" s="34"/>
      <c r="F132" s="35"/>
      <c r="G132" s="35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</row>
    <row r="133" spans="1:27">
      <c r="A133" s="34"/>
      <c r="B133" s="34"/>
      <c r="C133" s="34"/>
      <c r="D133" s="34"/>
      <c r="E133" s="34"/>
      <c r="F133" s="35"/>
      <c r="G133" s="35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</row>
    <row r="134" spans="1:27">
      <c r="A134" s="34"/>
      <c r="B134" s="34"/>
      <c r="C134" s="34"/>
      <c r="D134" s="34"/>
      <c r="E134" s="34"/>
      <c r="F134" s="35"/>
      <c r="G134" s="35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</row>
    <row r="135" spans="1:27">
      <c r="A135" s="34"/>
      <c r="B135" s="34"/>
      <c r="C135" s="34"/>
      <c r="D135" s="34"/>
      <c r="E135" s="34"/>
      <c r="F135" s="35"/>
      <c r="G135" s="35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</row>
    <row r="136" spans="1:27">
      <c r="A136" s="34"/>
      <c r="B136" s="34"/>
      <c r="C136" s="34"/>
      <c r="D136" s="34"/>
      <c r="E136" s="34"/>
      <c r="F136" s="35"/>
      <c r="G136" s="35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</row>
    <row r="137" spans="1:27">
      <c r="A137" s="34"/>
      <c r="B137" s="34"/>
      <c r="C137" s="34"/>
      <c r="D137" s="34"/>
      <c r="E137" s="34"/>
      <c r="F137" s="35"/>
      <c r="G137" s="35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</row>
    <row r="138" spans="1:27">
      <c r="A138" s="34"/>
      <c r="B138" s="34"/>
      <c r="C138" s="34"/>
      <c r="D138" s="34"/>
      <c r="E138" s="34"/>
      <c r="F138" s="35"/>
      <c r="G138" s="35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</row>
    <row r="139" spans="1:27">
      <c r="A139" s="34"/>
      <c r="B139" s="34"/>
      <c r="C139" s="34"/>
      <c r="D139" s="34"/>
      <c r="E139" s="34"/>
      <c r="F139" s="35"/>
      <c r="G139" s="35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</row>
    <row r="140" spans="1:27">
      <c r="A140" s="34"/>
      <c r="B140" s="34"/>
      <c r="C140" s="34"/>
      <c r="D140" s="34"/>
      <c r="E140" s="34"/>
      <c r="F140" s="35"/>
      <c r="G140" s="35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</row>
    <row r="141" spans="1:27">
      <c r="A141" s="34"/>
      <c r="B141" s="34"/>
      <c r="C141" s="34"/>
      <c r="D141" s="34"/>
      <c r="E141" s="34"/>
      <c r="F141" s="35"/>
      <c r="G141" s="35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</row>
    <row r="142" spans="1:27">
      <c r="A142" s="34"/>
      <c r="B142" s="34"/>
      <c r="C142" s="34"/>
      <c r="D142" s="34"/>
      <c r="E142" s="34"/>
      <c r="F142" s="35"/>
      <c r="G142" s="35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</row>
    <row r="143" spans="1:27">
      <c r="A143" s="34"/>
      <c r="B143" s="34"/>
      <c r="C143" s="34"/>
      <c r="D143" s="34"/>
      <c r="E143" s="34"/>
      <c r="F143" s="35"/>
      <c r="G143" s="35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</row>
    <row r="144" spans="1:27">
      <c r="A144" s="34"/>
      <c r="B144" s="34"/>
      <c r="C144" s="34"/>
      <c r="D144" s="34"/>
      <c r="E144" s="34"/>
      <c r="F144" s="35"/>
      <c r="G144" s="35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</row>
    <row r="145" spans="1:27">
      <c r="A145" s="34"/>
      <c r="B145" s="34"/>
      <c r="C145" s="34"/>
      <c r="D145" s="34"/>
      <c r="E145" s="34"/>
      <c r="F145" s="35"/>
      <c r="G145" s="35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</row>
    <row r="146" spans="1:27">
      <c r="A146" s="34"/>
      <c r="B146" s="34"/>
      <c r="C146" s="34"/>
      <c r="D146" s="34"/>
      <c r="E146" s="34"/>
      <c r="F146" s="35"/>
      <c r="G146" s="35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</row>
    <row r="147" spans="1:27">
      <c r="A147" s="34"/>
      <c r="B147" s="34"/>
      <c r="C147" s="34"/>
      <c r="D147" s="34"/>
      <c r="E147" s="34"/>
      <c r="F147" s="35"/>
      <c r="G147" s="35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</row>
    <row r="148" spans="1:27">
      <c r="A148" s="34"/>
      <c r="B148" s="34"/>
      <c r="C148" s="34"/>
      <c r="D148" s="34"/>
      <c r="E148" s="34"/>
      <c r="F148" s="35"/>
      <c r="G148" s="35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</row>
    <row r="149" spans="1:27">
      <c r="A149" s="34"/>
      <c r="B149" s="34"/>
      <c r="C149" s="34"/>
      <c r="D149" s="34"/>
      <c r="E149" s="34"/>
      <c r="F149" s="35"/>
      <c r="G149" s="35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</row>
    <row r="150" spans="1:27">
      <c r="A150" s="34"/>
      <c r="B150" s="34"/>
      <c r="C150" s="34"/>
      <c r="D150" s="34"/>
      <c r="E150" s="34"/>
      <c r="F150" s="35"/>
      <c r="G150" s="35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</row>
    <row r="151" spans="1:27">
      <c r="A151" s="34"/>
      <c r="B151" s="34"/>
      <c r="C151" s="34"/>
      <c r="D151" s="34"/>
      <c r="E151" s="34"/>
      <c r="F151" s="35"/>
      <c r="G151" s="35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</row>
    <row r="152" spans="1:27">
      <c r="A152" s="34"/>
      <c r="B152" s="34"/>
      <c r="C152" s="34"/>
      <c r="D152" s="34"/>
      <c r="E152" s="34"/>
      <c r="F152" s="35"/>
      <c r="G152" s="35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</row>
    <row r="153" spans="1:27">
      <c r="A153" s="34"/>
      <c r="B153" s="34"/>
      <c r="C153" s="34"/>
      <c r="D153" s="34"/>
      <c r="E153" s="34"/>
      <c r="F153" s="35"/>
      <c r="G153" s="35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</row>
    <row r="154" spans="1:27">
      <c r="A154" s="34"/>
      <c r="B154" s="34"/>
      <c r="C154" s="34"/>
      <c r="D154" s="34"/>
      <c r="E154" s="34"/>
      <c r="F154" s="35"/>
      <c r="G154" s="35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</row>
    <row r="155" spans="1:27">
      <c r="A155" s="34"/>
      <c r="B155" s="34"/>
      <c r="C155" s="34"/>
      <c r="D155" s="34"/>
      <c r="E155" s="34"/>
      <c r="F155" s="35"/>
      <c r="G155" s="35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</row>
    <row r="156" spans="1:27">
      <c r="A156" s="34"/>
      <c r="B156" s="34"/>
      <c r="C156" s="34"/>
      <c r="D156" s="34"/>
      <c r="E156" s="34"/>
      <c r="F156" s="35"/>
      <c r="G156" s="35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</row>
    <row r="157" spans="1:27">
      <c r="A157" s="34"/>
      <c r="B157" s="34"/>
      <c r="C157" s="34"/>
      <c r="D157" s="34"/>
      <c r="E157" s="34"/>
      <c r="F157" s="35"/>
      <c r="G157" s="35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</row>
    <row r="158" spans="1:27">
      <c r="A158" s="34"/>
      <c r="B158" s="34"/>
      <c r="C158" s="34"/>
      <c r="D158" s="34"/>
      <c r="E158" s="34"/>
      <c r="F158" s="35"/>
      <c r="G158" s="35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</row>
    <row r="159" spans="1:27">
      <c r="A159" s="34"/>
      <c r="B159" s="34"/>
      <c r="C159" s="34"/>
      <c r="D159" s="34"/>
      <c r="E159" s="34"/>
      <c r="F159" s="35"/>
      <c r="G159" s="35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</row>
    <row r="160" spans="1:27">
      <c r="A160" s="34"/>
      <c r="B160" s="34"/>
      <c r="C160" s="34"/>
      <c r="D160" s="34"/>
      <c r="E160" s="34"/>
      <c r="F160" s="35"/>
      <c r="G160" s="35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</row>
    <row r="161" spans="1:27">
      <c r="A161" s="34"/>
      <c r="B161" s="34"/>
      <c r="C161" s="34"/>
      <c r="D161" s="34"/>
      <c r="E161" s="34"/>
      <c r="F161" s="35"/>
      <c r="G161" s="35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</row>
    <row r="162" spans="1:27">
      <c r="A162" s="34"/>
      <c r="B162" s="34"/>
      <c r="C162" s="34"/>
      <c r="D162" s="34"/>
      <c r="E162" s="34"/>
      <c r="F162" s="35"/>
      <c r="G162" s="35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</row>
    <row r="163" spans="1:27">
      <c r="A163" s="34"/>
      <c r="B163" s="34"/>
      <c r="C163" s="34"/>
      <c r="D163" s="34"/>
      <c r="E163" s="34"/>
      <c r="F163" s="35"/>
      <c r="G163" s="35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</row>
    <row r="164" spans="1:27">
      <c r="A164" s="34"/>
      <c r="B164" s="34"/>
      <c r="C164" s="34"/>
      <c r="D164" s="34"/>
      <c r="E164" s="34"/>
      <c r="F164" s="35"/>
      <c r="G164" s="35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</row>
    <row r="165" spans="1:27">
      <c r="A165" s="34"/>
      <c r="B165" s="34"/>
      <c r="C165" s="34"/>
      <c r="D165" s="34"/>
      <c r="E165" s="34"/>
      <c r="F165" s="35"/>
      <c r="G165" s="35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</row>
    <row r="166" spans="1:27">
      <c r="A166" s="34"/>
      <c r="B166" s="34"/>
      <c r="C166" s="34"/>
      <c r="D166" s="34"/>
      <c r="E166" s="34"/>
      <c r="F166" s="35"/>
      <c r="G166" s="35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</row>
    <row r="167" spans="1:27">
      <c r="A167" s="34"/>
      <c r="B167" s="34"/>
      <c r="C167" s="34"/>
      <c r="D167" s="34"/>
      <c r="E167" s="34"/>
      <c r="F167" s="35"/>
      <c r="G167" s="35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</row>
    <row r="168" spans="1:27">
      <c r="A168" s="34"/>
      <c r="B168" s="34"/>
      <c r="C168" s="34"/>
      <c r="D168" s="34"/>
      <c r="E168" s="34"/>
      <c r="F168" s="35"/>
      <c r="G168" s="35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</row>
    <row r="169" spans="1:27">
      <c r="A169" s="34"/>
      <c r="B169" s="34"/>
      <c r="C169" s="34"/>
      <c r="D169" s="34"/>
      <c r="E169" s="34"/>
      <c r="F169" s="35"/>
      <c r="G169" s="35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</row>
    <row r="170" spans="1:27">
      <c r="A170" s="34"/>
      <c r="B170" s="34"/>
      <c r="C170" s="34"/>
      <c r="D170" s="34"/>
      <c r="E170" s="34"/>
      <c r="F170" s="35"/>
      <c r="G170" s="35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</row>
    <row r="171" spans="1:27">
      <c r="A171" s="34"/>
      <c r="B171" s="34"/>
      <c r="C171" s="34"/>
      <c r="D171" s="34"/>
      <c r="E171" s="34"/>
      <c r="F171" s="35"/>
      <c r="G171" s="35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</row>
    <row r="172" spans="1:27">
      <c r="A172" s="34"/>
      <c r="B172" s="34"/>
      <c r="C172" s="34"/>
      <c r="D172" s="34"/>
      <c r="E172" s="34"/>
      <c r="F172" s="35"/>
      <c r="G172" s="35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</row>
    <row r="173" spans="1:27">
      <c r="A173" s="34"/>
      <c r="B173" s="34"/>
      <c r="C173" s="34"/>
      <c r="D173" s="34"/>
      <c r="E173" s="34"/>
      <c r="F173" s="35"/>
      <c r="G173" s="35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</row>
    <row r="174" spans="1:27">
      <c r="A174" s="34"/>
      <c r="B174" s="34"/>
      <c r="C174" s="34"/>
      <c r="D174" s="34"/>
      <c r="E174" s="34"/>
      <c r="F174" s="35"/>
      <c r="G174" s="35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</row>
    <row r="175" spans="1:27">
      <c r="A175" s="34"/>
      <c r="B175" s="34"/>
      <c r="C175" s="34"/>
      <c r="D175" s="34"/>
      <c r="E175" s="34"/>
      <c r="F175" s="35"/>
      <c r="G175" s="35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</row>
    <row r="176" spans="1:27">
      <c r="A176" s="34"/>
      <c r="B176" s="34"/>
      <c r="C176" s="34"/>
      <c r="D176" s="34"/>
      <c r="E176" s="34"/>
      <c r="F176" s="35"/>
      <c r="G176" s="35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</row>
    <row r="177" spans="1:27">
      <c r="A177" s="34"/>
      <c r="B177" s="34"/>
      <c r="C177" s="34"/>
      <c r="D177" s="34"/>
      <c r="E177" s="34"/>
      <c r="F177" s="35"/>
      <c r="G177" s="35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</row>
    <row r="178" spans="1:27">
      <c r="A178" s="34"/>
      <c r="B178" s="34"/>
      <c r="C178" s="34"/>
      <c r="D178" s="34"/>
      <c r="E178" s="34"/>
      <c r="F178" s="35"/>
      <c r="G178" s="35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</row>
    <row r="179" spans="1:27">
      <c r="A179" s="34"/>
      <c r="B179" s="34"/>
      <c r="C179" s="34"/>
      <c r="D179" s="34"/>
      <c r="E179" s="34"/>
      <c r="F179" s="35"/>
      <c r="G179" s="35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</row>
    <row r="180" spans="1:27">
      <c r="A180" s="34"/>
      <c r="B180" s="34"/>
      <c r="C180" s="34"/>
      <c r="D180" s="34"/>
      <c r="E180" s="34"/>
      <c r="F180" s="35"/>
      <c r="G180" s="35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</row>
    <row r="181" spans="1:27">
      <c r="A181" s="34"/>
      <c r="B181" s="34"/>
      <c r="C181" s="34"/>
      <c r="D181" s="34"/>
      <c r="E181" s="34"/>
      <c r="F181" s="35"/>
      <c r="G181" s="35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</row>
    <row r="182" spans="1:27">
      <c r="A182" s="34"/>
      <c r="B182" s="34"/>
      <c r="C182" s="34"/>
      <c r="D182" s="34"/>
      <c r="E182" s="34"/>
      <c r="F182" s="35"/>
      <c r="G182" s="35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</row>
    <row r="183" spans="1:27">
      <c r="A183" s="34"/>
      <c r="B183" s="34"/>
      <c r="C183" s="34"/>
      <c r="D183" s="34"/>
      <c r="E183" s="34"/>
      <c r="F183" s="35"/>
      <c r="G183" s="35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</row>
    <row r="184" spans="1:27">
      <c r="A184" s="34"/>
      <c r="B184" s="34"/>
      <c r="C184" s="34"/>
      <c r="D184" s="34"/>
      <c r="E184" s="34"/>
      <c r="F184" s="35"/>
      <c r="G184" s="35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</row>
    <row r="185" spans="1:27">
      <c r="A185" s="34"/>
      <c r="B185" s="34"/>
      <c r="C185" s="34"/>
      <c r="D185" s="34"/>
      <c r="E185" s="34"/>
      <c r="F185" s="35"/>
      <c r="G185" s="35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</row>
    <row r="186" spans="1:27">
      <c r="A186" s="34"/>
      <c r="B186" s="34"/>
      <c r="C186" s="34"/>
      <c r="D186" s="34"/>
      <c r="E186" s="34"/>
      <c r="F186" s="35"/>
      <c r="G186" s="35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</row>
    <row r="187" spans="1:27">
      <c r="A187" s="34"/>
      <c r="B187" s="34"/>
      <c r="C187" s="34"/>
      <c r="D187" s="34"/>
      <c r="E187" s="34"/>
      <c r="F187" s="35"/>
      <c r="G187" s="35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</row>
    <row r="188" spans="1:27">
      <c r="A188" s="34"/>
      <c r="B188" s="34"/>
      <c r="C188" s="34"/>
      <c r="D188" s="34"/>
      <c r="E188" s="34"/>
      <c r="F188" s="35"/>
      <c r="G188" s="35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</row>
    <row r="189" spans="1:27">
      <c r="A189" s="34"/>
      <c r="B189" s="34"/>
      <c r="C189" s="34"/>
      <c r="D189" s="34"/>
      <c r="E189" s="34"/>
      <c r="F189" s="35"/>
      <c r="G189" s="35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</row>
    <row r="190" spans="1:27">
      <c r="A190" s="34"/>
      <c r="B190" s="34"/>
      <c r="C190" s="34"/>
      <c r="D190" s="34"/>
      <c r="E190" s="34"/>
      <c r="F190" s="35"/>
      <c r="G190" s="35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</row>
    <row r="191" spans="1:27">
      <c r="A191" s="34"/>
      <c r="B191" s="34"/>
      <c r="C191" s="34"/>
      <c r="D191" s="34"/>
      <c r="E191" s="34"/>
      <c r="F191" s="35"/>
      <c r="G191" s="35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</row>
    <row r="192" spans="1:27">
      <c r="A192" s="34"/>
      <c r="B192" s="34"/>
      <c r="C192" s="34"/>
      <c r="D192" s="34"/>
      <c r="E192" s="34"/>
      <c r="F192" s="35"/>
      <c r="G192" s="35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</row>
    <row r="193" spans="1:27">
      <c r="A193" s="34"/>
      <c r="B193" s="34"/>
      <c r="C193" s="34"/>
      <c r="D193" s="34"/>
      <c r="E193" s="34"/>
      <c r="F193" s="35"/>
      <c r="G193" s="35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</row>
    <row r="194" spans="1:27">
      <c r="A194" s="34"/>
      <c r="B194" s="34"/>
      <c r="C194" s="34"/>
      <c r="D194" s="34"/>
      <c r="E194" s="34"/>
      <c r="F194" s="35"/>
      <c r="G194" s="35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</row>
    <row r="195" spans="1:27">
      <c r="A195" s="34"/>
      <c r="B195" s="34"/>
      <c r="C195" s="34"/>
      <c r="D195" s="34"/>
      <c r="E195" s="34"/>
      <c r="F195" s="35"/>
      <c r="G195" s="35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</row>
    <row r="196" spans="1:27">
      <c r="A196" s="34"/>
      <c r="B196" s="34"/>
      <c r="C196" s="34"/>
      <c r="D196" s="34"/>
      <c r="E196" s="34"/>
      <c r="F196" s="35"/>
      <c r="G196" s="35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</row>
    <row r="197" spans="1:27">
      <c r="A197" s="34"/>
      <c r="B197" s="34"/>
      <c r="C197" s="34"/>
      <c r="D197" s="34"/>
      <c r="E197" s="34"/>
      <c r="F197" s="35"/>
      <c r="G197" s="35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</row>
    <row r="198" spans="1:27">
      <c r="A198" s="34"/>
      <c r="B198" s="34"/>
      <c r="C198" s="34"/>
      <c r="D198" s="34"/>
      <c r="E198" s="34"/>
      <c r="F198" s="35"/>
      <c r="G198" s="35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</row>
    <row r="199" spans="1:27">
      <c r="A199" s="34"/>
      <c r="B199" s="34"/>
      <c r="C199" s="34"/>
      <c r="D199" s="34"/>
      <c r="E199" s="34"/>
      <c r="F199" s="35"/>
      <c r="G199" s="35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</row>
    <row r="200" spans="1:27">
      <c r="A200" s="34"/>
      <c r="B200" s="34"/>
      <c r="C200" s="34"/>
      <c r="D200" s="34"/>
      <c r="E200" s="34"/>
      <c r="F200" s="35"/>
      <c r="G200" s="35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</row>
    <row r="201" spans="1:27">
      <c r="A201" s="34"/>
      <c r="B201" s="34"/>
      <c r="C201" s="34"/>
      <c r="D201" s="34"/>
      <c r="E201" s="34"/>
      <c r="F201" s="35"/>
      <c r="G201" s="35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</row>
    <row r="202" spans="1:27">
      <c r="A202" s="34"/>
      <c r="B202" s="34"/>
      <c r="C202" s="34"/>
      <c r="D202" s="34"/>
      <c r="E202" s="34"/>
      <c r="F202" s="35"/>
      <c r="G202" s="35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</row>
    <row r="203" spans="1:27">
      <c r="A203" s="34"/>
      <c r="B203" s="34"/>
      <c r="C203" s="34"/>
      <c r="D203" s="34"/>
      <c r="E203" s="34"/>
      <c r="F203" s="35"/>
      <c r="G203" s="35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</row>
    <row r="204" spans="1:27">
      <c r="A204" s="34"/>
      <c r="B204" s="34"/>
      <c r="C204" s="34"/>
      <c r="D204" s="34"/>
      <c r="E204" s="34"/>
      <c r="F204" s="35"/>
      <c r="G204" s="35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</row>
    <row r="205" spans="1:27">
      <c r="A205" s="34"/>
      <c r="B205" s="34"/>
      <c r="C205" s="34"/>
      <c r="D205" s="34"/>
      <c r="E205" s="34"/>
      <c r="F205" s="35"/>
      <c r="G205" s="35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</row>
    <row r="206" spans="1:27">
      <c r="A206" s="34"/>
      <c r="B206" s="34"/>
      <c r="C206" s="34"/>
      <c r="D206" s="34"/>
      <c r="E206" s="34"/>
      <c r="F206" s="35"/>
      <c r="G206" s="35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</row>
    <row r="207" spans="1:27">
      <c r="A207" s="34"/>
      <c r="B207" s="34"/>
      <c r="C207" s="34"/>
      <c r="D207" s="34"/>
      <c r="E207" s="34"/>
      <c r="F207" s="35"/>
      <c r="G207" s="35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</row>
    <row r="208" spans="1:27">
      <c r="A208" s="34"/>
      <c r="B208" s="34"/>
      <c r="C208" s="34"/>
      <c r="D208" s="34"/>
      <c r="E208" s="34"/>
      <c r="F208" s="35"/>
      <c r="G208" s="35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</row>
    <row r="209" spans="1:27">
      <c r="A209" s="34"/>
      <c r="B209" s="34"/>
      <c r="C209" s="34"/>
      <c r="D209" s="34"/>
      <c r="E209" s="34"/>
      <c r="F209" s="35"/>
      <c r="G209" s="35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</row>
    <row r="210" spans="1:27">
      <c r="A210" s="34"/>
      <c r="B210" s="34"/>
      <c r="C210" s="34"/>
      <c r="D210" s="34"/>
      <c r="E210" s="34"/>
      <c r="F210" s="35"/>
      <c r="G210" s="35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</row>
    <row r="211" spans="1:27">
      <c r="A211" s="34"/>
      <c r="B211" s="34"/>
      <c r="C211" s="34"/>
      <c r="D211" s="34"/>
      <c r="E211" s="34"/>
      <c r="F211" s="35"/>
      <c r="G211" s="35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</row>
    <row r="212" spans="1:27">
      <c r="A212" s="34"/>
      <c r="B212" s="34"/>
      <c r="C212" s="34"/>
      <c r="D212" s="34"/>
      <c r="E212" s="34"/>
      <c r="F212" s="35"/>
      <c r="G212" s="35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</row>
    <row r="213" spans="1:27">
      <c r="A213" s="34"/>
      <c r="B213" s="34"/>
      <c r="C213" s="34"/>
      <c r="D213" s="34"/>
      <c r="E213" s="34"/>
      <c r="F213" s="35"/>
      <c r="G213" s="35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</row>
    <row r="214" spans="1:27">
      <c r="A214" s="34"/>
      <c r="B214" s="34"/>
      <c r="C214" s="34"/>
      <c r="D214" s="34"/>
      <c r="E214" s="34"/>
      <c r="F214" s="35"/>
      <c r="G214" s="35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</row>
    <row r="215" spans="1:27">
      <c r="A215" s="34"/>
      <c r="B215" s="34"/>
      <c r="C215" s="34"/>
      <c r="D215" s="34"/>
      <c r="E215" s="34"/>
      <c r="F215" s="35"/>
      <c r="G215" s="35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</row>
    <row r="216" spans="1:27">
      <c r="A216" s="34"/>
      <c r="B216" s="34"/>
      <c r="C216" s="34"/>
      <c r="D216" s="34"/>
      <c r="E216" s="34"/>
      <c r="F216" s="35"/>
      <c r="G216" s="35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</row>
    <row r="217" spans="1:27">
      <c r="A217" s="34"/>
      <c r="B217" s="34"/>
      <c r="C217" s="34"/>
      <c r="D217" s="34"/>
      <c r="E217" s="34"/>
      <c r="F217" s="35"/>
      <c r="G217" s="35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</row>
    <row r="218" spans="1:27">
      <c r="A218" s="34"/>
      <c r="B218" s="34"/>
      <c r="C218" s="34"/>
      <c r="D218" s="34"/>
      <c r="E218" s="34"/>
      <c r="F218" s="35"/>
      <c r="G218" s="35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</row>
    <row r="219" spans="1:27">
      <c r="A219" s="34"/>
      <c r="B219" s="34"/>
      <c r="C219" s="34"/>
      <c r="D219" s="34"/>
      <c r="E219" s="34"/>
      <c r="F219" s="35"/>
      <c r="G219" s="35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</row>
    <row r="220" spans="1:27">
      <c r="A220" s="34"/>
      <c r="B220" s="34"/>
      <c r="C220" s="34"/>
      <c r="D220" s="34"/>
      <c r="E220" s="34"/>
      <c r="F220" s="35"/>
      <c r="G220" s="35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</row>
    <row r="221" spans="1:27">
      <c r="A221" s="34"/>
      <c r="B221" s="34"/>
      <c r="C221" s="34"/>
      <c r="D221" s="34"/>
      <c r="E221" s="34"/>
      <c r="F221" s="35"/>
      <c r="G221" s="35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</row>
    <row r="222" spans="1:27">
      <c r="A222" s="34"/>
      <c r="B222" s="34"/>
      <c r="C222" s="34"/>
      <c r="D222" s="34"/>
      <c r="E222" s="34"/>
      <c r="F222" s="35"/>
      <c r="G222" s="35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</row>
    <row r="223" spans="1:27">
      <c r="A223" s="34"/>
      <c r="B223" s="34"/>
      <c r="C223" s="34"/>
      <c r="D223" s="34"/>
      <c r="E223" s="34"/>
      <c r="F223" s="35"/>
      <c r="G223" s="35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</row>
    <row r="224" spans="1:27">
      <c r="A224" s="34"/>
      <c r="B224" s="34"/>
      <c r="C224" s="34"/>
      <c r="D224" s="34"/>
      <c r="E224" s="34"/>
      <c r="F224" s="35"/>
      <c r="G224" s="35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</row>
    <row r="225" spans="1:27">
      <c r="A225" s="34"/>
      <c r="B225" s="34"/>
      <c r="C225" s="34"/>
      <c r="D225" s="34"/>
      <c r="E225" s="34"/>
      <c r="F225" s="35"/>
      <c r="G225" s="35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</row>
    <row r="226" spans="1:27">
      <c r="A226" s="34"/>
      <c r="B226" s="34"/>
      <c r="C226" s="34"/>
      <c r="D226" s="34"/>
      <c r="E226" s="34"/>
      <c r="F226" s="35"/>
      <c r="G226" s="35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</row>
    <row r="227" spans="1:27">
      <c r="A227" s="34"/>
      <c r="B227" s="34"/>
      <c r="C227" s="34"/>
      <c r="D227" s="34"/>
      <c r="E227" s="34"/>
      <c r="F227" s="35"/>
      <c r="G227" s="35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</row>
    <row r="228" spans="1:27">
      <c r="A228" s="34"/>
      <c r="B228" s="34"/>
      <c r="C228" s="34"/>
      <c r="D228" s="34"/>
      <c r="E228" s="34"/>
      <c r="F228" s="35"/>
      <c r="G228" s="35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</row>
    <row r="229" spans="1:27">
      <c r="A229" s="34"/>
      <c r="B229" s="34"/>
      <c r="C229" s="34"/>
      <c r="D229" s="34"/>
      <c r="E229" s="34"/>
      <c r="F229" s="35"/>
      <c r="G229" s="35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</row>
    <row r="230" spans="1:27">
      <c r="A230" s="34"/>
      <c r="B230" s="34"/>
      <c r="C230" s="34"/>
      <c r="D230" s="34"/>
      <c r="E230" s="34"/>
      <c r="F230" s="35"/>
      <c r="G230" s="35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</row>
    <row r="231" spans="1:27">
      <c r="A231" s="34"/>
      <c r="B231" s="34"/>
      <c r="C231" s="34"/>
      <c r="D231" s="34"/>
      <c r="E231" s="34"/>
      <c r="F231" s="35"/>
      <c r="G231" s="35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</row>
    <row r="232" spans="1:27">
      <c r="A232" s="34"/>
      <c r="B232" s="34"/>
      <c r="C232" s="34"/>
      <c r="D232" s="34"/>
      <c r="E232" s="34"/>
      <c r="F232" s="35"/>
      <c r="G232" s="35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</row>
  </sheetData>
  <mergeCells count="10">
    <mergeCell ref="A1:G1"/>
    <mergeCell ref="A3:G3"/>
    <mergeCell ref="A11:F11"/>
    <mergeCell ref="A12:F12"/>
    <mergeCell ref="A14:G14"/>
    <mergeCell ref="A21:F21"/>
    <mergeCell ref="A22:F22"/>
    <mergeCell ref="A24:G24"/>
    <mergeCell ref="A31:F31"/>
    <mergeCell ref="A32:F32"/>
  </mergeCells>
  <pageMargins left="0.7875" right="0.7875" top="1.05277777777778" bottom="1.05277777777778" header="0" footer="0"/>
  <pageSetup paperSize="9" scale="64" orientation="portrait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QUADRO RESUMO</vt:lpstr>
      <vt:lpstr>PRODUTIVIDADE</vt:lpstr>
      <vt:lpstr>ENCARREGADO</vt:lpstr>
      <vt:lpstr>OPERADOR DE ROÇADEIRA</vt:lpstr>
      <vt:lpstr>MATERIAIS</vt:lpstr>
      <vt:lpstr>FERRAMENTAS E EQUIPAMENTOS</vt:lpstr>
      <vt:lpstr>EPIS</vt:lpstr>
      <vt:lpstr>UNIFORMES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CPL Renato Pires</dc:creator>
  <cp:lastModifiedBy>CCL</cp:lastModifiedBy>
  <dcterms:created xsi:type="dcterms:W3CDTF">2023-05-30T10:38:00Z</dcterms:created>
  <cp:lastPrinted>2023-09-22T13:40:00Z</cp:lastPrinted>
  <dcterms:modified xsi:type="dcterms:W3CDTF">2024-02-01T13:27:25Z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0E0CAC84A6E047F1AE0E82E6EBC78D87</vt:lpwstr>
  </property>
  <property fmtid="{D5CDD505-2E9C-101B-9397-08002B2CF9AE}" pid="3" name="KSOProductBuildVer">
    <vt:lpwstr>1046-12.2.0.13431</vt:lpwstr>
  </property>
</Properties>
</file>